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2120" windowHeight="9120" tabRatio="807" activeTab="0"/>
  </bookViews>
  <sheets>
    <sheet name="Family Calculator" sheetId="1" r:id="rId1"/>
    <sheet name="Storage Summary" sheetId="2" r:id="rId2"/>
    <sheet name="Goals, Inventory, Budget" sheetId="3" r:id="rId3"/>
    <sheet name="12 Month Summary Chart" sheetId="4" r:id="rId4"/>
  </sheets>
  <definedNames>
    <definedName name="All">'Goals, Inventory, Budget'!$B:$AJ</definedName>
    <definedName name="AllC">'Goals, Inventory, Budget'!$5:$212</definedName>
    <definedName name="Category">'Goals, Inventory, Budget'!$AL$1:$AL$9</definedName>
    <definedName name="FamilyFactor">'Family Calculator'!$E$12</definedName>
    <definedName name="FamilyName">'Family Calculator'!$H$2</definedName>
    <definedName name="_xlnm.Print_Area" localSheetId="0">'Family Calculator'!$B$2:$J$28</definedName>
    <definedName name="_xlnm.Print_Area" localSheetId="1">'Storage Summary'!$B$2:$O$24</definedName>
    <definedName name="View">'Goals, Inventory, Budget'!$AM$1:$AM$3</definedName>
  </definedNames>
  <calcPr fullCalcOnLoad="1"/>
</workbook>
</file>

<file path=xl/comments1.xml><?xml version="1.0" encoding="utf-8"?>
<comments xmlns="http://schemas.openxmlformats.org/spreadsheetml/2006/main">
  <authors>
    <author>Heidi &amp; Dan</author>
  </authors>
  <commentList>
    <comment ref="B2" authorId="0">
      <text>
        <r>
          <rPr>
            <b/>
            <sz val="8"/>
            <rFont val="Tahoma"/>
            <family val="0"/>
          </rPr>
          <t xml:space="preserve">Family Factor:
</t>
        </r>
        <r>
          <rPr>
            <sz val="8"/>
            <rFont val="Tahoma"/>
            <family val="2"/>
          </rPr>
          <t>Enter the number of people in each age group in the yellow squares.
Your Family Factor is automatically calculated to determine your family needs on the remaining worksheets.</t>
        </r>
      </text>
    </comment>
    <comment ref="C4" authorId="0">
      <text>
        <r>
          <rPr>
            <sz val="8"/>
            <rFont val="Tahoma"/>
            <family val="2"/>
          </rPr>
          <t>Enter the number of people in each age group in the yellow squares.</t>
        </r>
      </text>
    </comment>
    <comment ref="E12" authorId="0">
      <text>
        <r>
          <rPr>
            <sz val="8"/>
            <rFont val="Tahoma"/>
            <family val="2"/>
          </rPr>
          <t>Your Family Factor is automatically calculated to determine your family needs on the remaining worksheets.</t>
        </r>
      </text>
    </comment>
    <comment ref="D4" authorId="0">
      <text>
        <r>
          <rPr>
            <b/>
            <sz val="8"/>
            <rFont val="Tahoma"/>
            <family val="0"/>
          </rPr>
          <t xml:space="preserve">Points:
</t>
        </r>
        <r>
          <rPr>
            <sz val="8"/>
            <rFont val="Tahoma"/>
            <family val="2"/>
          </rPr>
          <t>You can edit these scaling factors depending on the source you are relying on. Examples from other sources are listed below.</t>
        </r>
      </text>
    </comment>
  </commentList>
</comments>
</file>

<file path=xl/comments2.xml><?xml version="1.0" encoding="utf-8"?>
<comments xmlns="http://schemas.openxmlformats.org/spreadsheetml/2006/main">
  <authors>
    <author>Heidi &amp; Dan</author>
  </authors>
  <commentList>
    <comment ref="C3" authorId="0">
      <text>
        <r>
          <rPr>
            <b/>
            <sz val="8"/>
            <rFont val="Tahoma"/>
            <family val="0"/>
          </rPr>
          <t xml:space="preserve">Source:
</t>
        </r>
        <r>
          <rPr>
            <sz val="8"/>
            <rFont val="Tahoma"/>
            <family val="2"/>
          </rPr>
          <t>Enter the desired source for recommended yearly storage. 
Enter '1' for recommended yearly Adult Quantity from "Making the Best of Basics"
Enter '2' for recommended yearly Adult Quantity from the LDS Church
Enter '3' for recommended yearly Adult Quantity from another source. -Enter those amounts below in column 3.
Enter '4' for personalized recommended yearly Adult Quantity.  -Enter those amounts below in column 4.</t>
        </r>
      </text>
    </comment>
    <comment ref="C5" authorId="0">
      <text>
        <r>
          <rPr>
            <b/>
            <sz val="8"/>
            <rFont val="Tahoma"/>
            <family val="0"/>
          </rPr>
          <t xml:space="preserve">Adult Quantity:
</t>
        </r>
        <r>
          <rPr>
            <sz val="8"/>
            <rFont val="Tahoma"/>
            <family val="2"/>
          </rPr>
          <t>Values are automatically taken from the chart below depending on the source code you use in the yellow box above.</t>
        </r>
      </text>
    </comment>
  </commentList>
</comments>
</file>

<file path=xl/comments3.xml><?xml version="1.0" encoding="utf-8"?>
<comments xmlns="http://schemas.openxmlformats.org/spreadsheetml/2006/main">
  <authors>
    <author>Heidi &amp; Dan</author>
  </authors>
  <commentList>
    <comment ref="C5" authorId="0">
      <text>
        <r>
          <rPr>
            <b/>
            <sz val="8"/>
            <rFont val="Tahoma"/>
            <family val="2"/>
          </rPr>
          <t xml:space="preserve">Dark Blue Header: </t>
        </r>
        <r>
          <rPr>
            <sz val="8"/>
            <rFont val="Tahoma"/>
            <family val="2"/>
          </rPr>
          <t xml:space="preserve">Major Category. </t>
        </r>
        <r>
          <rPr>
            <i/>
            <sz val="8"/>
            <rFont val="Tahoma"/>
            <family val="2"/>
          </rPr>
          <t>Non-Editable</t>
        </r>
      </text>
    </comment>
    <comment ref="C7" authorId="0">
      <text>
        <r>
          <rPr>
            <b/>
            <sz val="8"/>
            <rFont val="Tahoma"/>
            <family val="0"/>
          </rPr>
          <t xml:space="preserve">Sub-Category Header: </t>
        </r>
        <r>
          <rPr>
            <i/>
            <sz val="8"/>
            <rFont val="Tahoma"/>
            <family val="2"/>
          </rPr>
          <t>Editable</t>
        </r>
        <r>
          <rPr>
            <b/>
            <sz val="8"/>
            <rFont val="Tahoma"/>
            <family val="0"/>
          </rPr>
          <t xml:space="preserve">
</t>
        </r>
        <r>
          <rPr>
            <sz val="8"/>
            <rFont val="Tahoma"/>
            <family val="2"/>
          </rPr>
          <t xml:space="preserve">Sub-Category (often listed with recommended adult quantity minimum based on the goal amount picked in the </t>
        </r>
        <r>
          <rPr>
            <i/>
            <sz val="8"/>
            <rFont val="Tahoma"/>
            <family val="2"/>
          </rPr>
          <t>Storage Summary Sheet</t>
        </r>
        <r>
          <rPr>
            <sz val="8"/>
            <rFont val="Tahoma"/>
            <family val="2"/>
          </rPr>
          <t>).</t>
        </r>
      </text>
    </comment>
    <comment ref="I31" authorId="0">
      <text>
        <r>
          <rPr>
            <b/>
            <sz val="8"/>
            <rFont val="Tahoma"/>
            <family val="0"/>
          </rPr>
          <t xml:space="preserve">Still Needed to fill Sub-Category 12,6 &amp; 3 Month Goal: </t>
        </r>
        <r>
          <rPr>
            <i/>
            <sz val="8"/>
            <rFont val="Tahoma"/>
            <family val="2"/>
          </rPr>
          <t>Non-Editable</t>
        </r>
      </text>
    </comment>
    <comment ref="E151" authorId="0">
      <text>
        <r>
          <rPr>
            <sz val="8"/>
            <rFont val="Tahoma"/>
            <family val="0"/>
          </rPr>
          <t>Enter Goal Amount in Gallons</t>
        </r>
      </text>
    </comment>
    <comment ref="E154" authorId="0">
      <text>
        <r>
          <rPr>
            <sz val="8"/>
            <rFont val="Tahoma"/>
            <family val="2"/>
          </rPr>
          <t>Enter Goal Amount in Gallons</t>
        </r>
      </text>
    </comment>
    <comment ref="H8" authorId="0">
      <text>
        <r>
          <rPr>
            <b/>
            <sz val="8"/>
            <rFont val="Tahoma"/>
            <family val="0"/>
          </rPr>
          <t xml:space="preserve">Orange Cells: </t>
        </r>
        <r>
          <rPr>
            <i/>
            <sz val="8"/>
            <rFont val="Tahoma"/>
            <family val="2"/>
          </rPr>
          <t>Non-Editable</t>
        </r>
        <r>
          <rPr>
            <b/>
            <sz val="8"/>
            <rFont val="Tahoma"/>
            <family val="0"/>
          </rPr>
          <t xml:space="preserve">
</t>
        </r>
        <r>
          <rPr>
            <sz val="8"/>
            <rFont val="Tahoma"/>
            <family val="2"/>
          </rPr>
          <t>Indicates total amounts you listed in the inventory view.</t>
        </r>
      </text>
    </comment>
    <comment ref="J21" authorId="0">
      <text>
        <r>
          <rPr>
            <b/>
            <sz val="8"/>
            <rFont val="Tahoma"/>
            <family val="0"/>
          </rPr>
          <t>Adult Total Minimum:</t>
        </r>
        <r>
          <rPr>
            <sz val="8"/>
            <rFont val="Tahoma"/>
            <family val="0"/>
          </rPr>
          <t xml:space="preserve">
N</t>
        </r>
        <r>
          <rPr>
            <i/>
            <sz val="8"/>
            <rFont val="Tahoma"/>
            <family val="2"/>
          </rPr>
          <t xml:space="preserve">on-Editable
</t>
        </r>
        <r>
          <rPr>
            <sz val="8"/>
            <rFont val="Tahoma"/>
            <family val="2"/>
          </rPr>
          <t xml:space="preserve">Minimum Adult Quantity Total needed for the major category based on source selected in </t>
        </r>
        <r>
          <rPr>
            <i/>
            <sz val="8"/>
            <rFont val="Tahoma"/>
            <family val="2"/>
          </rPr>
          <t>Storage Summary Sheet.</t>
        </r>
      </text>
    </comment>
    <comment ref="L23"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X24" authorId="0">
      <text>
        <r>
          <rPr>
            <b/>
            <sz val="8"/>
            <rFont val="Tahoma"/>
            <family val="0"/>
          </rPr>
          <t xml:space="preserve">Lavender Cells: </t>
        </r>
        <r>
          <rPr>
            <i/>
            <sz val="8"/>
            <rFont val="Tahoma"/>
            <family val="2"/>
          </rPr>
          <t>Editable</t>
        </r>
        <r>
          <rPr>
            <sz val="8"/>
            <rFont val="Tahoma"/>
            <family val="0"/>
          </rPr>
          <t xml:space="preserve">
Enter number of units per other (custom) container described in the yellow squares.
Also enter number in stock as needed.</t>
        </r>
      </text>
    </comment>
    <comment ref="W24" authorId="0">
      <text>
        <r>
          <rPr>
            <b/>
            <sz val="8"/>
            <rFont val="Tahoma"/>
            <family val="0"/>
          </rPr>
          <t>Yellow Cells:</t>
        </r>
        <r>
          <rPr>
            <sz val="8"/>
            <rFont val="Tahoma"/>
            <family val="2"/>
          </rPr>
          <t xml:space="preserve"> </t>
        </r>
        <r>
          <rPr>
            <i/>
            <sz val="8"/>
            <rFont val="Tahoma"/>
            <family val="2"/>
          </rPr>
          <t>Editable</t>
        </r>
        <r>
          <rPr>
            <sz val="8"/>
            <rFont val="Tahoma"/>
            <family val="0"/>
          </rPr>
          <t xml:space="preserve">
List custom types of other containers you may use.</t>
        </r>
      </text>
    </comment>
    <comment ref="U24" authorId="0">
      <text>
        <r>
          <rPr>
            <b/>
            <sz val="8"/>
            <rFont val="Tahoma"/>
            <family val="0"/>
          </rPr>
          <t>Sky Blue Cells:</t>
        </r>
        <r>
          <rPr>
            <sz val="8"/>
            <rFont val="Tahoma"/>
            <family val="2"/>
          </rPr>
          <t xml:space="preserve"> </t>
        </r>
        <r>
          <rPr>
            <i/>
            <sz val="8"/>
            <rFont val="Tahoma"/>
            <family val="2"/>
          </rPr>
          <t>Editable</t>
        </r>
        <r>
          <rPr>
            <sz val="8"/>
            <rFont val="Tahoma"/>
            <family val="0"/>
          </rPr>
          <t xml:space="preserve">
Units per container are initially calculated automatically based on the Units per #10 Can. (a </t>
        </r>
        <r>
          <rPr>
            <sz val="8"/>
            <rFont val="Tahoma"/>
            <family val="2"/>
          </rPr>
          <t>#10 can = 0.75 gallons).</t>
        </r>
        <r>
          <rPr>
            <sz val="8"/>
            <rFont val="Tahoma"/>
            <family val="0"/>
          </rPr>
          <t xml:space="preserve">
These values can be edited as needed.
Enter number in stock for each item as needed.</t>
        </r>
      </text>
    </comment>
    <comment ref="O13" authorId="0">
      <text>
        <r>
          <rPr>
            <b/>
            <sz val="8"/>
            <rFont val="Tahoma"/>
            <family val="0"/>
          </rPr>
          <t>Family Total Goal:</t>
        </r>
        <r>
          <rPr>
            <sz val="8"/>
            <rFont val="Tahoma"/>
            <family val="0"/>
          </rPr>
          <t xml:space="preserve">
From </t>
        </r>
        <r>
          <rPr>
            <sz val="8"/>
            <rFont val="Tahoma"/>
            <family val="2"/>
          </rPr>
          <t>Goals &amp; Review Sheet.
Do not edit this column. Results are from Goals &amp; Review.</t>
        </r>
      </text>
    </comment>
    <comment ref="AC24" authorId="0">
      <text>
        <r>
          <rPr>
            <b/>
            <sz val="8"/>
            <rFont val="Tahoma"/>
            <family val="0"/>
          </rPr>
          <t xml:space="preserve">Price Per Unit- Bright Yellow: </t>
        </r>
        <r>
          <rPr>
            <i/>
            <sz val="8"/>
            <rFont val="Tahoma"/>
            <family val="2"/>
          </rPr>
          <t>Editable</t>
        </r>
        <r>
          <rPr>
            <b/>
            <sz val="8"/>
            <rFont val="Tahoma"/>
            <family val="0"/>
          </rPr>
          <t xml:space="preserve">
</t>
        </r>
        <r>
          <rPr>
            <sz val="8"/>
            <rFont val="Tahoma"/>
            <family val="2"/>
          </rPr>
          <t>Some known bulk prices per unit are entered. You may enter known or estimated prices as needed.</t>
        </r>
      </text>
    </comment>
    <comment ref="AC18" authorId="0">
      <text>
        <r>
          <rPr>
            <b/>
            <sz val="8"/>
            <rFont val="Tahoma"/>
            <family val="0"/>
          </rPr>
          <t xml:space="preserve">Price Per Unit: </t>
        </r>
        <r>
          <rPr>
            <i/>
            <sz val="8"/>
            <rFont val="Tahoma"/>
            <family val="2"/>
          </rPr>
          <t>Editable</t>
        </r>
        <r>
          <rPr>
            <sz val="8"/>
            <rFont val="Tahoma"/>
            <family val="0"/>
          </rPr>
          <t xml:space="preserve">
Some known bulk prices per unit are entered. You may enter known or estimated prices as needed.</t>
        </r>
      </text>
    </comment>
    <comment ref="I14" authorId="0">
      <text>
        <r>
          <rPr>
            <b/>
            <sz val="8"/>
            <rFont val="Tahoma"/>
            <family val="0"/>
          </rPr>
          <t xml:space="preserve">Grey Cells: </t>
        </r>
        <r>
          <rPr>
            <sz val="8"/>
            <rFont val="Tahoma"/>
            <family val="2"/>
          </rPr>
          <t>Non-Editable
Ignore</t>
        </r>
        <r>
          <rPr>
            <b/>
            <sz val="8"/>
            <rFont val="Tahoma"/>
            <family val="0"/>
          </rPr>
          <t>.</t>
        </r>
        <r>
          <rPr>
            <sz val="8"/>
            <rFont val="Tahoma"/>
            <family val="0"/>
          </rPr>
          <t xml:space="preserve">
</t>
        </r>
      </text>
    </comment>
    <comment ref="C8"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E8"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AG24" authorId="0">
      <text>
        <r>
          <rPr>
            <b/>
            <sz val="8"/>
            <rFont val="Tahoma"/>
            <family val="0"/>
          </rPr>
          <t xml:space="preserve">Cost to Complete Goals: </t>
        </r>
        <r>
          <rPr>
            <i/>
            <sz val="8"/>
            <rFont val="Tahoma"/>
            <family val="2"/>
          </rPr>
          <t>Non-Editable</t>
        </r>
        <r>
          <rPr>
            <sz val="8"/>
            <rFont val="Tahoma"/>
            <family val="0"/>
          </rPr>
          <t xml:space="preserve">
Lists estimated price to accomplish 12, 6, and 3 month goal amounts for items, sub-categories, and major categories.</t>
        </r>
      </text>
    </comment>
    <comment ref="P6" authorId="0">
      <text>
        <r>
          <rPr>
            <b/>
            <sz val="8"/>
            <rFont val="Tahoma"/>
            <family val="0"/>
          </rPr>
          <t>In Inventory:</t>
        </r>
        <r>
          <rPr>
            <sz val="8"/>
            <rFont val="Tahoma"/>
            <family val="0"/>
          </rPr>
          <t xml:space="preserve">
</t>
        </r>
        <r>
          <rPr>
            <b/>
            <sz val="8"/>
            <rFont val="Tahoma"/>
            <family val="2"/>
          </rPr>
          <t>Orange cells</t>
        </r>
        <r>
          <rPr>
            <sz val="8"/>
            <rFont val="Tahoma"/>
            <family val="0"/>
          </rPr>
          <t xml:space="preserve"> are automatically calculated based on numbers entered on the right and are not editable.
</t>
        </r>
        <r>
          <rPr>
            <b/>
            <sz val="8"/>
            <rFont val="Tahoma"/>
            <family val="2"/>
          </rPr>
          <t>Bright Yellow cells</t>
        </r>
        <r>
          <rPr>
            <sz val="8"/>
            <rFont val="Tahoma"/>
            <family val="2"/>
          </rPr>
          <t xml:space="preserve"> in this column are editable for you to list the amount you have in inventory for certain items only.</t>
        </r>
      </text>
    </comment>
    <comment ref="M22" authorId="0">
      <text>
        <r>
          <rPr>
            <b/>
            <sz val="8"/>
            <rFont val="Tahoma"/>
            <family val="0"/>
          </rPr>
          <t xml:space="preserve">Storage Item, Units, Family Total Goal: </t>
        </r>
        <r>
          <rPr>
            <i/>
            <sz val="8"/>
            <rFont val="Tahoma"/>
            <family val="2"/>
          </rPr>
          <t>Non-Editable</t>
        </r>
        <r>
          <rPr>
            <b/>
            <i/>
            <sz val="8"/>
            <rFont val="Tahoma"/>
            <family val="2"/>
          </rPr>
          <t xml:space="preserve">
</t>
        </r>
        <r>
          <rPr>
            <sz val="8"/>
            <rFont val="Tahoma"/>
            <family val="2"/>
          </rPr>
          <t xml:space="preserve">These items are linked to the </t>
        </r>
        <r>
          <rPr>
            <i/>
            <sz val="8"/>
            <rFont val="Tahoma"/>
            <family val="2"/>
          </rPr>
          <t xml:space="preserve">Basic Goals Sheet </t>
        </r>
        <r>
          <rPr>
            <sz val="8"/>
            <rFont val="Tahoma"/>
            <family val="2"/>
          </rPr>
          <t xml:space="preserve">and are editable from there.  Changes made the  </t>
        </r>
        <r>
          <rPr>
            <i/>
            <sz val="8"/>
            <rFont val="Tahoma"/>
            <family val="2"/>
          </rPr>
          <t xml:space="preserve">Basic Goals Sheet </t>
        </r>
        <r>
          <rPr>
            <sz val="8"/>
            <rFont val="Tahoma"/>
            <family val="2"/>
          </rPr>
          <t>are automatically updated here.</t>
        </r>
      </text>
    </comment>
    <comment ref="P22" authorId="0">
      <text>
        <r>
          <rPr>
            <b/>
            <sz val="8"/>
            <rFont val="Tahoma"/>
            <family val="0"/>
          </rPr>
          <t>In Inventory:</t>
        </r>
        <r>
          <rPr>
            <sz val="8"/>
            <rFont val="Tahoma"/>
            <family val="0"/>
          </rPr>
          <t xml:space="preserve">
</t>
        </r>
        <r>
          <rPr>
            <b/>
            <sz val="8"/>
            <rFont val="Tahoma"/>
            <family val="2"/>
          </rPr>
          <t>Orange cells</t>
        </r>
        <r>
          <rPr>
            <sz val="8"/>
            <rFont val="Tahoma"/>
            <family val="0"/>
          </rPr>
          <t xml:space="preserve"> are automatically calculated based on numbers entered on the right and are not editable.
</t>
        </r>
        <r>
          <rPr>
            <b/>
            <sz val="8"/>
            <rFont val="Tahoma"/>
            <family val="2"/>
          </rPr>
          <t>Bright Yellow cells</t>
        </r>
        <r>
          <rPr>
            <sz val="8"/>
            <rFont val="Tahoma"/>
            <family val="2"/>
          </rPr>
          <t xml:space="preserve"> in this column are  editable for you to list the amount you have in inventory for certain items only.</t>
        </r>
      </text>
    </comment>
    <comment ref="R22" authorId="0">
      <text>
        <r>
          <rPr>
            <b/>
            <sz val="8"/>
            <rFont val="Tahoma"/>
            <family val="0"/>
          </rPr>
          <t>Light Blue &amp; Turquoise Cells:</t>
        </r>
        <r>
          <rPr>
            <sz val="8"/>
            <rFont val="Tahoma"/>
            <family val="2"/>
          </rPr>
          <t xml:space="preserve"> </t>
        </r>
        <r>
          <rPr>
            <i/>
            <sz val="8"/>
            <rFont val="Tahoma"/>
            <family val="2"/>
          </rPr>
          <t>Editable</t>
        </r>
        <r>
          <rPr>
            <sz val="8"/>
            <rFont val="Tahoma"/>
            <family val="0"/>
          </rPr>
          <t xml:space="preserve">
#10 cans and Pouches
Units per container for some items are already listed. Others can be added or changed as needed.
Enter number in stock for each item as needed.</t>
        </r>
      </text>
    </comment>
    <comment ref="U22" authorId="0">
      <text>
        <r>
          <rPr>
            <b/>
            <sz val="8"/>
            <rFont val="Tahoma"/>
            <family val="0"/>
          </rPr>
          <t>Sky Blue Cells:</t>
        </r>
        <r>
          <rPr>
            <sz val="8"/>
            <rFont val="Tahoma"/>
            <family val="2"/>
          </rPr>
          <t xml:space="preserve"> </t>
        </r>
        <r>
          <rPr>
            <i/>
            <sz val="8"/>
            <rFont val="Tahoma"/>
            <family val="2"/>
          </rPr>
          <t>Editable</t>
        </r>
        <r>
          <rPr>
            <sz val="8"/>
            <rFont val="Tahoma"/>
            <family val="0"/>
          </rPr>
          <t xml:space="preserve">
Units per container are initially calculated automatically based on the Units per #10 Can. (a </t>
        </r>
        <r>
          <rPr>
            <sz val="8"/>
            <rFont val="Tahoma"/>
            <family val="2"/>
          </rPr>
          <t>#10 can = 0.75 gallons).</t>
        </r>
        <r>
          <rPr>
            <sz val="8"/>
            <rFont val="Tahoma"/>
            <family val="0"/>
          </rPr>
          <t xml:space="preserve">
These values can be edited as needed.
Enter number in stock for each item as needed.</t>
        </r>
      </text>
    </comment>
    <comment ref="W22" authorId="0">
      <text>
        <r>
          <rPr>
            <b/>
            <sz val="8"/>
            <rFont val="Tahoma"/>
            <family val="0"/>
          </rPr>
          <t>Yellow Cells:</t>
        </r>
        <r>
          <rPr>
            <sz val="8"/>
            <rFont val="Tahoma"/>
            <family val="2"/>
          </rPr>
          <t xml:space="preserve"> </t>
        </r>
        <r>
          <rPr>
            <i/>
            <sz val="8"/>
            <rFont val="Tahoma"/>
            <family val="2"/>
          </rPr>
          <t>Editable</t>
        </r>
        <r>
          <rPr>
            <sz val="8"/>
            <rFont val="Tahoma"/>
            <family val="0"/>
          </rPr>
          <t xml:space="preserve">
List custom types of other containers you may use.</t>
        </r>
      </text>
    </comment>
    <comment ref="X22" authorId="0">
      <text>
        <r>
          <rPr>
            <b/>
            <sz val="8"/>
            <rFont val="Tahoma"/>
            <family val="0"/>
          </rPr>
          <t xml:space="preserve">Lavender Cells: </t>
        </r>
        <r>
          <rPr>
            <i/>
            <sz val="8"/>
            <rFont val="Tahoma"/>
            <family val="2"/>
          </rPr>
          <t>Editable</t>
        </r>
        <r>
          <rPr>
            <sz val="8"/>
            <rFont val="Tahoma"/>
            <family val="0"/>
          </rPr>
          <t xml:space="preserve">
Enter number of units per other (custom) container described in the yellow squares.
Also enter number in stock as needed.</t>
        </r>
      </text>
    </comment>
    <comment ref="I24"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Q8" authorId="0">
      <text>
        <r>
          <rPr>
            <b/>
            <sz val="8"/>
            <rFont val="Tahoma"/>
            <family val="0"/>
          </rPr>
          <t xml:space="preserve">Yellow Cells: </t>
        </r>
        <r>
          <rPr>
            <i/>
            <sz val="8"/>
            <rFont val="Tahoma"/>
            <family val="2"/>
          </rPr>
          <t>Editable</t>
        </r>
        <r>
          <rPr>
            <sz val="8"/>
            <rFont val="Tahoma"/>
            <family val="2"/>
          </rPr>
          <t xml:space="preserve">
Enter quantity of each size water containers that you have in storage.</t>
        </r>
        <r>
          <rPr>
            <sz val="8"/>
            <rFont val="Tahoma"/>
            <family val="0"/>
          </rPr>
          <t xml:space="preserve">
</t>
        </r>
      </text>
    </comment>
    <comment ref="Q12" authorId="0">
      <text>
        <r>
          <rPr>
            <b/>
            <sz val="8"/>
            <rFont val="Tahoma"/>
            <family val="0"/>
          </rPr>
          <t>Light Blue:</t>
        </r>
        <r>
          <rPr>
            <sz val="8"/>
            <rFont val="Tahoma"/>
            <family val="2"/>
          </rPr>
          <t xml:space="preserve"> </t>
        </r>
        <r>
          <rPr>
            <i/>
            <sz val="8"/>
            <rFont val="Tahoma"/>
            <family val="2"/>
          </rPr>
          <t xml:space="preserve">Editable
</t>
        </r>
        <r>
          <rPr>
            <sz val="8"/>
            <rFont val="Tahoma"/>
            <family val="2"/>
          </rPr>
          <t>Enter in expected units costs for containers still needed.</t>
        </r>
        <r>
          <rPr>
            <sz val="8"/>
            <rFont val="Tahoma"/>
            <family val="0"/>
          </rPr>
          <t xml:space="preserve">
</t>
        </r>
      </text>
    </comment>
    <comment ref="R24" authorId="0">
      <text>
        <r>
          <rPr>
            <b/>
            <sz val="8"/>
            <rFont val="Tahoma"/>
            <family val="0"/>
          </rPr>
          <t>Light Blue &amp; Turquoise Cells:</t>
        </r>
        <r>
          <rPr>
            <sz val="8"/>
            <rFont val="Tahoma"/>
            <family val="2"/>
          </rPr>
          <t xml:space="preserve"> </t>
        </r>
        <r>
          <rPr>
            <i/>
            <sz val="8"/>
            <rFont val="Tahoma"/>
            <family val="2"/>
          </rPr>
          <t>Editable</t>
        </r>
        <r>
          <rPr>
            <sz val="8"/>
            <rFont val="Tahoma"/>
            <family val="0"/>
          </rPr>
          <t xml:space="preserve">
#10 cans and Pouches
Units per container for some items are already listed. Others can be added or changed as needed.
Enter number in stock for each item as needed.</t>
        </r>
      </text>
    </comment>
    <comment ref="D8"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G8"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F8" authorId="0">
      <text>
        <r>
          <rPr>
            <b/>
            <sz val="8"/>
            <rFont val="Tahoma"/>
            <family val="0"/>
          </rPr>
          <t>Units:</t>
        </r>
        <r>
          <rPr>
            <i/>
            <sz val="8"/>
            <rFont val="Tahoma"/>
            <family val="2"/>
          </rPr>
          <t xml:space="preserve"> Non-Editable
</t>
        </r>
        <r>
          <rPr>
            <sz val="8"/>
            <rFont val="Tahoma"/>
            <family val="2"/>
          </rPr>
          <t>Common units are already given.</t>
        </r>
      </text>
    </comment>
    <comment ref="I8" authorId="0">
      <text>
        <r>
          <rPr>
            <b/>
            <sz val="8"/>
            <rFont val="Tahoma"/>
            <family val="0"/>
          </rPr>
          <t xml:space="preserve">Grey Cells: </t>
        </r>
        <r>
          <rPr>
            <sz val="8"/>
            <rFont val="Tahoma"/>
            <family val="2"/>
          </rPr>
          <t>Non-Editable
Ignore</t>
        </r>
        <r>
          <rPr>
            <b/>
            <sz val="8"/>
            <rFont val="Tahoma"/>
            <family val="0"/>
          </rPr>
          <t>.</t>
        </r>
        <r>
          <rPr>
            <sz val="8"/>
            <rFont val="Tahoma"/>
            <family val="0"/>
          </rPr>
          <t xml:space="preserve">
</t>
        </r>
      </text>
    </comment>
    <comment ref="Q11" authorId="0">
      <text>
        <r>
          <rPr>
            <b/>
            <sz val="8"/>
            <rFont val="Tahoma"/>
            <family val="0"/>
          </rPr>
          <t xml:space="preserve">Turquoise Cells: </t>
        </r>
        <r>
          <rPr>
            <i/>
            <sz val="8"/>
            <rFont val="Tahoma"/>
            <family val="2"/>
          </rPr>
          <t>Editable</t>
        </r>
        <r>
          <rPr>
            <b/>
            <sz val="8"/>
            <rFont val="Tahoma"/>
            <family val="0"/>
          </rPr>
          <t xml:space="preserve">
</t>
        </r>
        <r>
          <rPr>
            <sz val="8"/>
            <rFont val="Tahoma"/>
            <family val="2"/>
          </rPr>
          <t>Enter number of containers still needed to reach family goal.</t>
        </r>
        <r>
          <rPr>
            <b/>
            <sz val="8"/>
            <rFont val="Tahoma"/>
            <family val="0"/>
          </rPr>
          <t xml:space="preserve">
Light Blue Cells: </t>
        </r>
        <r>
          <rPr>
            <i/>
            <sz val="8"/>
            <rFont val="Tahoma"/>
            <family val="2"/>
          </rPr>
          <t>Editable</t>
        </r>
        <r>
          <rPr>
            <b/>
            <sz val="8"/>
            <rFont val="Tahoma"/>
            <family val="0"/>
          </rPr>
          <t xml:space="preserve">
</t>
        </r>
        <r>
          <rPr>
            <sz val="8"/>
            <rFont val="Tahoma"/>
            <family val="2"/>
          </rPr>
          <t>Enter unit costs for containers still needed</t>
        </r>
        <r>
          <rPr>
            <b/>
            <sz val="8"/>
            <rFont val="Tahoma"/>
            <family val="0"/>
          </rPr>
          <t xml:space="preserve">
</t>
        </r>
      </text>
    </comment>
    <comment ref="C6"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6"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6"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6" authorId="0">
      <text>
        <r>
          <rPr>
            <b/>
            <sz val="8"/>
            <rFont val="Tahoma"/>
            <family val="0"/>
          </rPr>
          <t>Units:</t>
        </r>
        <r>
          <rPr>
            <i/>
            <sz val="8"/>
            <rFont val="Tahoma"/>
            <family val="2"/>
          </rPr>
          <t xml:space="preserve"> Non-Editable
</t>
        </r>
        <r>
          <rPr>
            <sz val="8"/>
            <rFont val="Tahoma"/>
            <family val="2"/>
          </rPr>
          <t>Common units are already given.</t>
        </r>
      </text>
    </comment>
    <comment ref="G6"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6"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C22"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22"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22"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22" authorId="0">
      <text>
        <r>
          <rPr>
            <b/>
            <sz val="8"/>
            <rFont val="Tahoma"/>
            <family val="0"/>
          </rPr>
          <t>Units:</t>
        </r>
        <r>
          <rPr>
            <i/>
            <sz val="8"/>
            <rFont val="Tahoma"/>
            <family val="2"/>
          </rPr>
          <t xml:space="preserve"> Non-Editable
</t>
        </r>
        <r>
          <rPr>
            <sz val="8"/>
            <rFont val="Tahoma"/>
            <family val="2"/>
          </rPr>
          <t>Common units are already given.</t>
        </r>
      </text>
    </comment>
    <comment ref="G22"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22"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C24"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24"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24"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24" authorId="0">
      <text>
        <r>
          <rPr>
            <b/>
            <sz val="8"/>
            <rFont val="Tahoma"/>
            <family val="0"/>
          </rPr>
          <t>Units:</t>
        </r>
        <r>
          <rPr>
            <i/>
            <sz val="8"/>
            <rFont val="Tahoma"/>
            <family val="2"/>
          </rPr>
          <t xml:space="preserve"> Non-Editable
</t>
        </r>
        <r>
          <rPr>
            <sz val="8"/>
            <rFont val="Tahoma"/>
            <family val="2"/>
          </rPr>
          <t>Common units are already given.</t>
        </r>
      </text>
    </comment>
    <comment ref="G24"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24"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22"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24"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22"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C31" authorId="0">
      <text>
        <r>
          <rPr>
            <b/>
            <sz val="8"/>
            <rFont val="Tahoma"/>
            <family val="0"/>
          </rPr>
          <t>Sub Category Total:</t>
        </r>
        <r>
          <rPr>
            <sz val="8"/>
            <rFont val="Tahoma"/>
            <family val="0"/>
          </rPr>
          <t xml:space="preserve">
</t>
        </r>
        <r>
          <rPr>
            <i/>
            <sz val="8"/>
            <rFont val="Tahoma"/>
            <family val="2"/>
          </rPr>
          <t>Non-Editable</t>
        </r>
      </text>
    </comment>
    <comment ref="E31"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31"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31" authorId="0">
      <text>
        <r>
          <rPr>
            <b/>
            <sz val="8"/>
            <rFont val="Tahoma"/>
            <family val="0"/>
          </rPr>
          <t xml:space="preserve">Total Subcategory in In Inventory: </t>
        </r>
        <r>
          <rPr>
            <i/>
            <sz val="8"/>
            <rFont val="Tahoma"/>
            <family val="2"/>
          </rPr>
          <t>Non-Editable</t>
        </r>
      </text>
    </comment>
    <comment ref="C12" authorId="0">
      <text>
        <r>
          <rPr>
            <b/>
            <sz val="8"/>
            <rFont val="Tahoma"/>
            <family val="0"/>
          </rPr>
          <t>Sub Category Total:</t>
        </r>
        <r>
          <rPr>
            <sz val="8"/>
            <rFont val="Tahoma"/>
            <family val="0"/>
          </rPr>
          <t xml:space="preserve">
</t>
        </r>
        <r>
          <rPr>
            <i/>
            <sz val="8"/>
            <rFont val="Tahoma"/>
            <family val="2"/>
          </rPr>
          <t>Non-Editable</t>
        </r>
      </text>
    </comment>
    <comment ref="E12"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12"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12" authorId="0">
      <text>
        <r>
          <rPr>
            <b/>
            <sz val="8"/>
            <rFont val="Tahoma"/>
            <family val="0"/>
          </rPr>
          <t xml:space="preserve">Total Subcategory in In Inventory: </t>
        </r>
        <r>
          <rPr>
            <i/>
            <sz val="8"/>
            <rFont val="Tahoma"/>
            <family val="2"/>
          </rPr>
          <t>Non-Editable</t>
        </r>
      </text>
    </comment>
    <comment ref="C65" authorId="0">
      <text>
        <r>
          <rPr>
            <b/>
            <sz val="8"/>
            <rFont val="Tahoma"/>
            <family val="0"/>
          </rPr>
          <t>Major Category Total:</t>
        </r>
        <r>
          <rPr>
            <sz val="8"/>
            <rFont val="Tahoma"/>
            <family val="0"/>
          </rPr>
          <t xml:space="preserve">
</t>
        </r>
        <r>
          <rPr>
            <i/>
            <sz val="8"/>
            <rFont val="Tahoma"/>
            <family val="2"/>
          </rPr>
          <t>Non-Editable</t>
        </r>
      </text>
    </comment>
    <comment ref="E65" authorId="0">
      <text>
        <r>
          <rPr>
            <b/>
            <sz val="8"/>
            <rFont val="Tahoma"/>
            <family val="0"/>
          </rPr>
          <t>Adult Goal Quantity for Major Category:</t>
        </r>
        <r>
          <rPr>
            <sz val="8"/>
            <rFont val="Tahoma"/>
            <family val="2"/>
          </rPr>
          <t xml:space="preserve"> </t>
        </r>
        <r>
          <rPr>
            <i/>
            <sz val="8"/>
            <rFont val="Tahoma"/>
            <family val="2"/>
          </rPr>
          <t>Non-Editable</t>
        </r>
      </text>
    </comment>
    <comment ref="G65"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65" authorId="0">
      <text>
        <r>
          <rPr>
            <b/>
            <sz val="8"/>
            <rFont val="Tahoma"/>
            <family val="0"/>
          </rPr>
          <t xml:space="preserve">Total Subcategory in In Inventory: </t>
        </r>
        <r>
          <rPr>
            <i/>
            <sz val="8"/>
            <rFont val="Tahoma"/>
            <family val="2"/>
          </rPr>
          <t>Non-Editable</t>
        </r>
      </text>
    </comment>
    <comment ref="I65" authorId="0">
      <text>
        <r>
          <rPr>
            <b/>
            <sz val="8"/>
            <rFont val="Tahoma"/>
            <family val="0"/>
          </rPr>
          <t xml:space="preserve">Still Needed to fill Major Category 12, 6 &amp; 3 Month Goal: </t>
        </r>
        <r>
          <rPr>
            <i/>
            <sz val="8"/>
            <rFont val="Tahoma"/>
            <family val="2"/>
          </rPr>
          <t>Non-Editable</t>
        </r>
      </text>
    </comment>
    <comment ref="C68"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68"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68"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68" authorId="0">
      <text>
        <r>
          <rPr>
            <b/>
            <sz val="8"/>
            <rFont val="Tahoma"/>
            <family val="0"/>
          </rPr>
          <t>Units:</t>
        </r>
        <r>
          <rPr>
            <i/>
            <sz val="8"/>
            <rFont val="Tahoma"/>
            <family val="2"/>
          </rPr>
          <t xml:space="preserve"> Non-Editable
</t>
        </r>
        <r>
          <rPr>
            <sz val="8"/>
            <rFont val="Tahoma"/>
            <family val="2"/>
          </rPr>
          <t>Common units are already given.</t>
        </r>
      </text>
    </comment>
    <comment ref="G68"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68"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68"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68"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69"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C70"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70"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70"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70" authorId="0">
      <text>
        <r>
          <rPr>
            <b/>
            <sz val="8"/>
            <rFont val="Tahoma"/>
            <family val="0"/>
          </rPr>
          <t>Units:</t>
        </r>
        <r>
          <rPr>
            <i/>
            <sz val="8"/>
            <rFont val="Tahoma"/>
            <family val="2"/>
          </rPr>
          <t xml:space="preserve"> Non-Editable
</t>
        </r>
        <r>
          <rPr>
            <sz val="8"/>
            <rFont val="Tahoma"/>
            <family val="2"/>
          </rPr>
          <t>Common units are already given.</t>
        </r>
      </text>
    </comment>
    <comment ref="G70"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70"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70"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70"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C90"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90"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90"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90" authorId="0">
      <text>
        <r>
          <rPr>
            <b/>
            <sz val="8"/>
            <rFont val="Tahoma"/>
            <family val="0"/>
          </rPr>
          <t>Units:</t>
        </r>
        <r>
          <rPr>
            <i/>
            <sz val="8"/>
            <rFont val="Tahoma"/>
            <family val="2"/>
          </rPr>
          <t xml:space="preserve"> Non-Editable
</t>
        </r>
        <r>
          <rPr>
            <sz val="8"/>
            <rFont val="Tahoma"/>
            <family val="2"/>
          </rPr>
          <t>Common units are already given.</t>
        </r>
      </text>
    </comment>
    <comment ref="G90"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90"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90"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90"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91"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C92"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92"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92"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92" authorId="0">
      <text>
        <r>
          <rPr>
            <b/>
            <sz val="8"/>
            <rFont val="Tahoma"/>
            <family val="0"/>
          </rPr>
          <t>Units:</t>
        </r>
        <r>
          <rPr>
            <i/>
            <sz val="8"/>
            <rFont val="Tahoma"/>
            <family val="2"/>
          </rPr>
          <t xml:space="preserve"> Non-Editable
</t>
        </r>
        <r>
          <rPr>
            <sz val="8"/>
            <rFont val="Tahoma"/>
            <family val="2"/>
          </rPr>
          <t>Common units are already given.</t>
        </r>
      </text>
    </comment>
    <comment ref="G92"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92"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92"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92"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C119"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19"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19"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19" authorId="0">
      <text>
        <r>
          <rPr>
            <b/>
            <sz val="8"/>
            <rFont val="Tahoma"/>
            <family val="0"/>
          </rPr>
          <t>Units:</t>
        </r>
        <r>
          <rPr>
            <i/>
            <sz val="8"/>
            <rFont val="Tahoma"/>
            <family val="2"/>
          </rPr>
          <t xml:space="preserve"> Non-Editable
</t>
        </r>
        <r>
          <rPr>
            <sz val="8"/>
            <rFont val="Tahoma"/>
            <family val="2"/>
          </rPr>
          <t>Common units are already given.</t>
        </r>
      </text>
    </comment>
    <comment ref="G119"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19"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19"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19"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120"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C121"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21"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21"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21" authorId="0">
      <text>
        <r>
          <rPr>
            <b/>
            <sz val="8"/>
            <rFont val="Tahoma"/>
            <family val="0"/>
          </rPr>
          <t>Units:</t>
        </r>
        <r>
          <rPr>
            <i/>
            <sz val="8"/>
            <rFont val="Tahoma"/>
            <family val="2"/>
          </rPr>
          <t xml:space="preserve"> Non-Editable
</t>
        </r>
        <r>
          <rPr>
            <sz val="8"/>
            <rFont val="Tahoma"/>
            <family val="2"/>
          </rPr>
          <t>Common units are already given.</t>
        </r>
      </text>
    </comment>
    <comment ref="G121"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21"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21"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21"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C144"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44"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44"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44" authorId="0">
      <text>
        <r>
          <rPr>
            <b/>
            <sz val="8"/>
            <rFont val="Tahoma"/>
            <family val="0"/>
          </rPr>
          <t>Units:</t>
        </r>
        <r>
          <rPr>
            <i/>
            <sz val="8"/>
            <rFont val="Tahoma"/>
            <family val="2"/>
          </rPr>
          <t xml:space="preserve"> Non-Editable
</t>
        </r>
        <r>
          <rPr>
            <sz val="8"/>
            <rFont val="Tahoma"/>
            <family val="2"/>
          </rPr>
          <t>Common units are already given.</t>
        </r>
      </text>
    </comment>
    <comment ref="G144"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44"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44"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44"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145"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C146"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46"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46"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46" authorId="0">
      <text>
        <r>
          <rPr>
            <b/>
            <sz val="8"/>
            <rFont val="Tahoma"/>
            <family val="0"/>
          </rPr>
          <t>Units:</t>
        </r>
        <r>
          <rPr>
            <i/>
            <sz val="8"/>
            <rFont val="Tahoma"/>
            <family val="2"/>
          </rPr>
          <t xml:space="preserve"> Non-Editable
</t>
        </r>
        <r>
          <rPr>
            <sz val="8"/>
            <rFont val="Tahoma"/>
            <family val="2"/>
          </rPr>
          <t>Common units are already given.</t>
        </r>
      </text>
    </comment>
    <comment ref="G146"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46"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46"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46"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C166"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66"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66"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66" authorId="0">
      <text>
        <r>
          <rPr>
            <b/>
            <sz val="8"/>
            <rFont val="Tahoma"/>
            <family val="0"/>
          </rPr>
          <t>Units:</t>
        </r>
        <r>
          <rPr>
            <i/>
            <sz val="8"/>
            <rFont val="Tahoma"/>
            <family val="2"/>
          </rPr>
          <t xml:space="preserve"> Non-Editable
</t>
        </r>
        <r>
          <rPr>
            <sz val="8"/>
            <rFont val="Tahoma"/>
            <family val="2"/>
          </rPr>
          <t>Common units are already given.</t>
        </r>
      </text>
    </comment>
    <comment ref="G166"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66"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66"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66"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167"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C168"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68"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68"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68" authorId="0">
      <text>
        <r>
          <rPr>
            <b/>
            <sz val="8"/>
            <rFont val="Tahoma"/>
            <family val="0"/>
          </rPr>
          <t>Units:</t>
        </r>
        <r>
          <rPr>
            <i/>
            <sz val="8"/>
            <rFont val="Tahoma"/>
            <family val="2"/>
          </rPr>
          <t xml:space="preserve"> Non-Editable
</t>
        </r>
        <r>
          <rPr>
            <sz val="8"/>
            <rFont val="Tahoma"/>
            <family val="2"/>
          </rPr>
          <t>Common units are already given.</t>
        </r>
      </text>
    </comment>
    <comment ref="G168"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68"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68"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68"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C190"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90"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90"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90" authorId="0">
      <text>
        <r>
          <rPr>
            <b/>
            <sz val="8"/>
            <rFont val="Tahoma"/>
            <family val="0"/>
          </rPr>
          <t>Units:</t>
        </r>
        <r>
          <rPr>
            <i/>
            <sz val="8"/>
            <rFont val="Tahoma"/>
            <family val="2"/>
          </rPr>
          <t xml:space="preserve"> Non-Editable
</t>
        </r>
        <r>
          <rPr>
            <sz val="8"/>
            <rFont val="Tahoma"/>
            <family val="2"/>
          </rPr>
          <t>Common units are already given.</t>
        </r>
      </text>
    </comment>
    <comment ref="G190"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90"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90"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90"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191"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C192"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92"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92"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92" authorId="0">
      <text>
        <r>
          <rPr>
            <b/>
            <sz val="8"/>
            <rFont val="Tahoma"/>
            <family val="0"/>
          </rPr>
          <t>Units:</t>
        </r>
        <r>
          <rPr>
            <i/>
            <sz val="8"/>
            <rFont val="Tahoma"/>
            <family val="2"/>
          </rPr>
          <t xml:space="preserve"> Non-Editable
</t>
        </r>
        <r>
          <rPr>
            <sz val="8"/>
            <rFont val="Tahoma"/>
            <family val="2"/>
          </rPr>
          <t>Common units are already given.</t>
        </r>
      </text>
    </comment>
    <comment ref="G192"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92"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92"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92"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J67" authorId="0">
      <text>
        <r>
          <rPr>
            <b/>
            <sz val="8"/>
            <rFont val="Tahoma"/>
            <family val="0"/>
          </rPr>
          <t>Adult Total Minimum:</t>
        </r>
        <r>
          <rPr>
            <sz val="8"/>
            <rFont val="Tahoma"/>
            <family val="0"/>
          </rPr>
          <t xml:space="preserve">
N</t>
        </r>
        <r>
          <rPr>
            <i/>
            <sz val="8"/>
            <rFont val="Tahoma"/>
            <family val="2"/>
          </rPr>
          <t xml:space="preserve">on-Editable
</t>
        </r>
        <r>
          <rPr>
            <sz val="8"/>
            <rFont val="Tahoma"/>
            <family val="2"/>
          </rPr>
          <t xml:space="preserve">Minimum Adult Quantity Total needed for the major category based on source selected in </t>
        </r>
        <r>
          <rPr>
            <i/>
            <sz val="8"/>
            <rFont val="Tahoma"/>
            <family val="2"/>
          </rPr>
          <t>Storage Summary Sheet.</t>
        </r>
      </text>
    </comment>
    <comment ref="J89" authorId="0">
      <text>
        <r>
          <rPr>
            <b/>
            <sz val="8"/>
            <rFont val="Tahoma"/>
            <family val="0"/>
          </rPr>
          <t>Adult Total Minimum:</t>
        </r>
        <r>
          <rPr>
            <sz val="8"/>
            <rFont val="Tahoma"/>
            <family val="0"/>
          </rPr>
          <t xml:space="preserve">
N</t>
        </r>
        <r>
          <rPr>
            <i/>
            <sz val="8"/>
            <rFont val="Tahoma"/>
            <family val="2"/>
          </rPr>
          <t xml:space="preserve">on-Editable
</t>
        </r>
        <r>
          <rPr>
            <sz val="8"/>
            <rFont val="Tahoma"/>
            <family val="2"/>
          </rPr>
          <t xml:space="preserve">Minimum Adult Quantity Total needed for the major category based on source selected in </t>
        </r>
        <r>
          <rPr>
            <i/>
            <sz val="8"/>
            <rFont val="Tahoma"/>
            <family val="2"/>
          </rPr>
          <t>Storage Summary Sheet.</t>
        </r>
      </text>
    </comment>
    <comment ref="J118" authorId="0">
      <text>
        <r>
          <rPr>
            <b/>
            <sz val="8"/>
            <rFont val="Tahoma"/>
            <family val="0"/>
          </rPr>
          <t>Adult Total Minimum:</t>
        </r>
        <r>
          <rPr>
            <sz val="8"/>
            <rFont val="Tahoma"/>
            <family val="0"/>
          </rPr>
          <t xml:space="preserve">
N</t>
        </r>
        <r>
          <rPr>
            <i/>
            <sz val="8"/>
            <rFont val="Tahoma"/>
            <family val="2"/>
          </rPr>
          <t xml:space="preserve">on-Editable
</t>
        </r>
        <r>
          <rPr>
            <sz val="8"/>
            <rFont val="Tahoma"/>
            <family val="2"/>
          </rPr>
          <t xml:space="preserve">Minimum Adult Quantity Total needed for the major category based on source selected in </t>
        </r>
        <r>
          <rPr>
            <i/>
            <sz val="8"/>
            <rFont val="Tahoma"/>
            <family val="2"/>
          </rPr>
          <t>Storage Summary Sheet.</t>
        </r>
      </text>
    </comment>
    <comment ref="J143" authorId="0">
      <text>
        <r>
          <rPr>
            <b/>
            <sz val="8"/>
            <rFont val="Tahoma"/>
            <family val="0"/>
          </rPr>
          <t>Adult Total Minimum:</t>
        </r>
        <r>
          <rPr>
            <sz val="8"/>
            <rFont val="Tahoma"/>
            <family val="0"/>
          </rPr>
          <t xml:space="preserve">
N</t>
        </r>
        <r>
          <rPr>
            <i/>
            <sz val="8"/>
            <rFont val="Tahoma"/>
            <family val="2"/>
          </rPr>
          <t xml:space="preserve">on-Editable
</t>
        </r>
        <r>
          <rPr>
            <sz val="8"/>
            <rFont val="Tahoma"/>
            <family val="2"/>
          </rPr>
          <t xml:space="preserve">Minimum Adult Quantity Total needed for the major category based on source selected in </t>
        </r>
        <r>
          <rPr>
            <i/>
            <sz val="8"/>
            <rFont val="Tahoma"/>
            <family val="2"/>
          </rPr>
          <t>Storage Summary Sheet.</t>
        </r>
      </text>
    </comment>
    <comment ref="J165" authorId="0">
      <text>
        <r>
          <rPr>
            <b/>
            <sz val="8"/>
            <rFont val="Tahoma"/>
            <family val="0"/>
          </rPr>
          <t>Adult Total Minimum:</t>
        </r>
        <r>
          <rPr>
            <sz val="8"/>
            <rFont val="Tahoma"/>
            <family val="0"/>
          </rPr>
          <t xml:space="preserve">
N</t>
        </r>
        <r>
          <rPr>
            <i/>
            <sz val="8"/>
            <rFont val="Tahoma"/>
            <family val="2"/>
          </rPr>
          <t xml:space="preserve">on-Editable
</t>
        </r>
        <r>
          <rPr>
            <sz val="8"/>
            <rFont val="Tahoma"/>
            <family val="2"/>
          </rPr>
          <t xml:space="preserve">Minimum Adult Quantity Total needed for the major category based on source selected in </t>
        </r>
        <r>
          <rPr>
            <i/>
            <sz val="8"/>
            <rFont val="Tahoma"/>
            <family val="2"/>
          </rPr>
          <t>Storage Summary Sheet.</t>
        </r>
      </text>
    </comment>
    <comment ref="C21" authorId="0">
      <text>
        <r>
          <rPr>
            <b/>
            <sz val="8"/>
            <rFont val="Tahoma"/>
            <family val="0"/>
          </rPr>
          <t>Dark Blue Header: Major Category.</t>
        </r>
        <r>
          <rPr>
            <i/>
            <sz val="8"/>
            <rFont val="Tahoma"/>
            <family val="2"/>
          </rPr>
          <t xml:space="preserve"> Non-Editable</t>
        </r>
        <r>
          <rPr>
            <sz val="8"/>
            <rFont val="Tahoma"/>
            <family val="0"/>
          </rPr>
          <t xml:space="preserve">
</t>
        </r>
      </text>
    </comment>
    <comment ref="C67" authorId="0">
      <text>
        <r>
          <rPr>
            <b/>
            <sz val="8"/>
            <rFont val="Tahoma"/>
            <family val="0"/>
          </rPr>
          <t>Dark Blue Header: Major Category.</t>
        </r>
        <r>
          <rPr>
            <i/>
            <sz val="8"/>
            <rFont val="Tahoma"/>
            <family val="2"/>
          </rPr>
          <t xml:space="preserve"> Non-Editable</t>
        </r>
        <r>
          <rPr>
            <sz val="8"/>
            <rFont val="Tahoma"/>
            <family val="0"/>
          </rPr>
          <t xml:space="preserve">
</t>
        </r>
      </text>
    </comment>
    <comment ref="C89" authorId="0">
      <text>
        <r>
          <rPr>
            <b/>
            <sz val="8"/>
            <rFont val="Tahoma"/>
            <family val="0"/>
          </rPr>
          <t>Dark Blue Header: Major Category.</t>
        </r>
        <r>
          <rPr>
            <i/>
            <sz val="8"/>
            <rFont val="Tahoma"/>
            <family val="2"/>
          </rPr>
          <t xml:space="preserve"> Non-Editable</t>
        </r>
        <r>
          <rPr>
            <sz val="8"/>
            <rFont val="Tahoma"/>
            <family val="0"/>
          </rPr>
          <t xml:space="preserve">
</t>
        </r>
      </text>
    </comment>
    <comment ref="C118" authorId="0">
      <text>
        <r>
          <rPr>
            <b/>
            <sz val="8"/>
            <rFont val="Tahoma"/>
            <family val="0"/>
          </rPr>
          <t>Dark Blue Header: Major Category.</t>
        </r>
        <r>
          <rPr>
            <i/>
            <sz val="8"/>
            <rFont val="Tahoma"/>
            <family val="2"/>
          </rPr>
          <t xml:space="preserve"> Non-Editable</t>
        </r>
        <r>
          <rPr>
            <sz val="8"/>
            <rFont val="Tahoma"/>
            <family val="0"/>
          </rPr>
          <t xml:space="preserve">
</t>
        </r>
      </text>
    </comment>
    <comment ref="C143" authorId="0">
      <text>
        <r>
          <rPr>
            <b/>
            <sz val="8"/>
            <rFont val="Tahoma"/>
            <family val="0"/>
          </rPr>
          <t>Dark Blue Header: Major Category.</t>
        </r>
        <r>
          <rPr>
            <i/>
            <sz val="8"/>
            <rFont val="Tahoma"/>
            <family val="2"/>
          </rPr>
          <t xml:space="preserve"> Non-Editable</t>
        </r>
        <r>
          <rPr>
            <sz val="8"/>
            <rFont val="Tahoma"/>
            <family val="0"/>
          </rPr>
          <t xml:space="preserve">
</t>
        </r>
      </text>
    </comment>
    <comment ref="C165" authorId="0">
      <text>
        <r>
          <rPr>
            <b/>
            <sz val="8"/>
            <rFont val="Tahoma"/>
            <family val="0"/>
          </rPr>
          <t>Dark Blue Header: Major Category.</t>
        </r>
        <r>
          <rPr>
            <i/>
            <sz val="8"/>
            <rFont val="Tahoma"/>
            <family val="2"/>
          </rPr>
          <t xml:space="preserve"> Non-Editable</t>
        </r>
        <r>
          <rPr>
            <sz val="8"/>
            <rFont val="Tahoma"/>
            <family val="0"/>
          </rPr>
          <t xml:space="preserve">
</t>
        </r>
      </text>
    </comment>
    <comment ref="C189" authorId="0">
      <text>
        <r>
          <rPr>
            <b/>
            <sz val="8"/>
            <rFont val="Tahoma"/>
            <family val="0"/>
          </rPr>
          <t xml:space="preserve">Dark Blue Header: Major Category. </t>
        </r>
        <r>
          <rPr>
            <i/>
            <sz val="8"/>
            <rFont val="Tahoma"/>
            <family val="2"/>
          </rPr>
          <t>Non-Editable</t>
        </r>
        <r>
          <rPr>
            <sz val="8"/>
            <rFont val="Tahoma"/>
            <family val="0"/>
          </rPr>
          <t xml:space="preserve">
</t>
        </r>
      </text>
    </comment>
    <comment ref="C81" authorId="0">
      <text>
        <r>
          <rPr>
            <b/>
            <sz val="8"/>
            <rFont val="Tahoma"/>
            <family val="0"/>
          </rPr>
          <t>Sub Category Total:</t>
        </r>
        <r>
          <rPr>
            <sz val="8"/>
            <rFont val="Tahoma"/>
            <family val="0"/>
          </rPr>
          <t xml:space="preserve">
</t>
        </r>
        <r>
          <rPr>
            <i/>
            <sz val="8"/>
            <rFont val="Tahoma"/>
            <family val="2"/>
          </rPr>
          <t>Non-Editable</t>
        </r>
      </text>
    </comment>
    <comment ref="E81"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81"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81" authorId="0">
      <text>
        <r>
          <rPr>
            <b/>
            <sz val="8"/>
            <rFont val="Tahoma"/>
            <family val="0"/>
          </rPr>
          <t xml:space="preserve">Total Subcategory in In Inventory: </t>
        </r>
        <r>
          <rPr>
            <i/>
            <sz val="8"/>
            <rFont val="Tahoma"/>
            <family val="2"/>
          </rPr>
          <t>Non-Editable</t>
        </r>
      </text>
    </comment>
    <comment ref="I81" authorId="0">
      <text>
        <r>
          <rPr>
            <b/>
            <sz val="8"/>
            <rFont val="Tahoma"/>
            <family val="0"/>
          </rPr>
          <t xml:space="preserve">Still Needed to fill Sub-Category 12,6 &amp; 3 Month Goal: </t>
        </r>
        <r>
          <rPr>
            <i/>
            <sz val="8"/>
            <rFont val="Tahoma"/>
            <family val="2"/>
          </rPr>
          <t>Non-Editable</t>
        </r>
      </text>
    </comment>
    <comment ref="C99" authorId="0">
      <text>
        <r>
          <rPr>
            <b/>
            <sz val="8"/>
            <rFont val="Tahoma"/>
            <family val="0"/>
          </rPr>
          <t>Sub Category Total:</t>
        </r>
        <r>
          <rPr>
            <sz val="8"/>
            <rFont val="Tahoma"/>
            <family val="0"/>
          </rPr>
          <t xml:space="preserve">
</t>
        </r>
        <r>
          <rPr>
            <i/>
            <sz val="8"/>
            <rFont val="Tahoma"/>
            <family val="2"/>
          </rPr>
          <t>Non-Editable</t>
        </r>
      </text>
    </comment>
    <comment ref="E99"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99"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99" authorId="0">
      <text>
        <r>
          <rPr>
            <b/>
            <sz val="8"/>
            <rFont val="Tahoma"/>
            <family val="0"/>
          </rPr>
          <t xml:space="preserve">Total Subcategory in In Inventory: </t>
        </r>
        <r>
          <rPr>
            <i/>
            <sz val="8"/>
            <rFont val="Tahoma"/>
            <family val="2"/>
          </rPr>
          <t>Non-Editable</t>
        </r>
      </text>
    </comment>
    <comment ref="I99" authorId="0">
      <text>
        <r>
          <rPr>
            <b/>
            <sz val="8"/>
            <rFont val="Tahoma"/>
            <family val="0"/>
          </rPr>
          <t xml:space="preserve">Still Needed to fill Sub-Category 12,6 &amp; 3 Month Goal: </t>
        </r>
        <r>
          <rPr>
            <i/>
            <sz val="8"/>
            <rFont val="Tahoma"/>
            <family val="2"/>
          </rPr>
          <t>Non-Editable</t>
        </r>
      </text>
    </comment>
    <comment ref="C124" authorId="0">
      <text>
        <r>
          <rPr>
            <b/>
            <sz val="8"/>
            <rFont val="Tahoma"/>
            <family val="0"/>
          </rPr>
          <t>Sub Category Total:</t>
        </r>
        <r>
          <rPr>
            <sz val="8"/>
            <rFont val="Tahoma"/>
            <family val="0"/>
          </rPr>
          <t xml:space="preserve">
</t>
        </r>
        <r>
          <rPr>
            <i/>
            <sz val="8"/>
            <rFont val="Tahoma"/>
            <family val="2"/>
          </rPr>
          <t>Non-Editable</t>
        </r>
      </text>
    </comment>
    <comment ref="E124"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124"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124" authorId="0">
      <text>
        <r>
          <rPr>
            <b/>
            <sz val="8"/>
            <rFont val="Tahoma"/>
            <family val="0"/>
          </rPr>
          <t xml:space="preserve">Total Subcategory in In Inventory: </t>
        </r>
        <r>
          <rPr>
            <i/>
            <sz val="8"/>
            <rFont val="Tahoma"/>
            <family val="2"/>
          </rPr>
          <t>Non-Editable</t>
        </r>
      </text>
    </comment>
    <comment ref="I124" authorId="0">
      <text>
        <r>
          <rPr>
            <b/>
            <sz val="8"/>
            <rFont val="Tahoma"/>
            <family val="0"/>
          </rPr>
          <t xml:space="preserve">Still Needed to fill Sub-Category 12,6 &amp; 3 Month Goal: </t>
        </r>
        <r>
          <rPr>
            <i/>
            <sz val="8"/>
            <rFont val="Tahoma"/>
            <family val="2"/>
          </rPr>
          <t>Non-Editable</t>
        </r>
      </text>
    </comment>
    <comment ref="C152" authorId="0">
      <text>
        <r>
          <rPr>
            <b/>
            <sz val="8"/>
            <rFont val="Tahoma"/>
            <family val="0"/>
          </rPr>
          <t>Sub Category Total:</t>
        </r>
        <r>
          <rPr>
            <sz val="8"/>
            <rFont val="Tahoma"/>
            <family val="0"/>
          </rPr>
          <t xml:space="preserve">
</t>
        </r>
        <r>
          <rPr>
            <i/>
            <sz val="8"/>
            <rFont val="Tahoma"/>
            <family val="2"/>
          </rPr>
          <t>Non-Editable</t>
        </r>
      </text>
    </comment>
    <comment ref="E152"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152"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152" authorId="0">
      <text>
        <r>
          <rPr>
            <b/>
            <sz val="8"/>
            <rFont val="Tahoma"/>
            <family val="0"/>
          </rPr>
          <t xml:space="preserve">Total Subcategory in In Inventory: </t>
        </r>
        <r>
          <rPr>
            <i/>
            <sz val="8"/>
            <rFont val="Tahoma"/>
            <family val="2"/>
          </rPr>
          <t>Non-Editable</t>
        </r>
      </text>
    </comment>
    <comment ref="I152" authorId="0">
      <text>
        <r>
          <rPr>
            <b/>
            <sz val="8"/>
            <rFont val="Tahoma"/>
            <family val="0"/>
          </rPr>
          <t xml:space="preserve">Still Needed to fill Sub-Category 12,6 &amp; 3 Month Goal: </t>
        </r>
        <r>
          <rPr>
            <i/>
            <sz val="8"/>
            <rFont val="Tahoma"/>
            <family val="2"/>
          </rPr>
          <t>Non-Editable</t>
        </r>
      </text>
    </comment>
    <comment ref="C178" authorId="0">
      <text>
        <r>
          <rPr>
            <b/>
            <sz val="8"/>
            <rFont val="Tahoma"/>
            <family val="0"/>
          </rPr>
          <t>Sub Category Total:</t>
        </r>
        <r>
          <rPr>
            <sz val="8"/>
            <rFont val="Tahoma"/>
            <family val="0"/>
          </rPr>
          <t xml:space="preserve">
</t>
        </r>
        <r>
          <rPr>
            <i/>
            <sz val="8"/>
            <rFont val="Tahoma"/>
            <family val="2"/>
          </rPr>
          <t>Non-Editable</t>
        </r>
      </text>
    </comment>
    <comment ref="E178"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178"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178" authorId="0">
      <text>
        <r>
          <rPr>
            <b/>
            <sz val="8"/>
            <rFont val="Tahoma"/>
            <family val="0"/>
          </rPr>
          <t xml:space="preserve">Total Subcategory in In Inventory: </t>
        </r>
        <r>
          <rPr>
            <i/>
            <sz val="8"/>
            <rFont val="Tahoma"/>
            <family val="2"/>
          </rPr>
          <t>Non-Editable</t>
        </r>
      </text>
    </comment>
    <comment ref="I178" authorId="0">
      <text>
        <r>
          <rPr>
            <b/>
            <sz val="8"/>
            <rFont val="Tahoma"/>
            <family val="0"/>
          </rPr>
          <t xml:space="preserve">Still Needed to fill Sub-Category 12,6 &amp; 3 Month Goal: </t>
        </r>
        <r>
          <rPr>
            <i/>
            <sz val="8"/>
            <rFont val="Tahoma"/>
            <family val="2"/>
          </rPr>
          <t>Non-Editable</t>
        </r>
      </text>
    </comment>
    <comment ref="C202" authorId="0">
      <text>
        <r>
          <rPr>
            <b/>
            <sz val="8"/>
            <rFont val="Tahoma"/>
            <family val="0"/>
          </rPr>
          <t>Sub Category Total:</t>
        </r>
        <r>
          <rPr>
            <sz val="8"/>
            <rFont val="Tahoma"/>
            <family val="0"/>
          </rPr>
          <t xml:space="preserve">
</t>
        </r>
        <r>
          <rPr>
            <i/>
            <sz val="8"/>
            <rFont val="Tahoma"/>
            <family val="2"/>
          </rPr>
          <t>Non-Editable</t>
        </r>
      </text>
    </comment>
    <comment ref="E202"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202"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202" authorId="0">
      <text>
        <r>
          <rPr>
            <b/>
            <sz val="8"/>
            <rFont val="Tahoma"/>
            <family val="0"/>
          </rPr>
          <t xml:space="preserve">Total Subcategory in In Inventory: </t>
        </r>
        <r>
          <rPr>
            <i/>
            <sz val="8"/>
            <rFont val="Tahoma"/>
            <family val="2"/>
          </rPr>
          <t>Non-Editable</t>
        </r>
      </text>
    </comment>
    <comment ref="I202" authorId="0">
      <text>
        <r>
          <rPr>
            <b/>
            <sz val="8"/>
            <rFont val="Tahoma"/>
            <family val="0"/>
          </rPr>
          <t xml:space="preserve">Still Needed to fill Sub-Category 12,6 &amp; 3 Month Goal: </t>
        </r>
        <r>
          <rPr>
            <i/>
            <sz val="8"/>
            <rFont val="Tahoma"/>
            <family val="2"/>
          </rPr>
          <t>Non-Editable</t>
        </r>
      </text>
    </comment>
    <comment ref="C87" authorId="0">
      <text>
        <r>
          <rPr>
            <b/>
            <sz val="8"/>
            <rFont val="Tahoma"/>
            <family val="0"/>
          </rPr>
          <t>Major Category Total:</t>
        </r>
        <r>
          <rPr>
            <sz val="8"/>
            <rFont val="Tahoma"/>
            <family val="0"/>
          </rPr>
          <t xml:space="preserve">
</t>
        </r>
        <r>
          <rPr>
            <i/>
            <sz val="8"/>
            <rFont val="Tahoma"/>
            <family val="2"/>
          </rPr>
          <t>Non-Editable</t>
        </r>
      </text>
    </comment>
    <comment ref="E87" authorId="0">
      <text>
        <r>
          <rPr>
            <b/>
            <sz val="8"/>
            <rFont val="Tahoma"/>
            <family val="0"/>
          </rPr>
          <t>Adult Goal Quantity for Major Category:</t>
        </r>
        <r>
          <rPr>
            <sz val="8"/>
            <rFont val="Tahoma"/>
            <family val="2"/>
          </rPr>
          <t xml:space="preserve"> </t>
        </r>
        <r>
          <rPr>
            <i/>
            <sz val="8"/>
            <rFont val="Tahoma"/>
            <family val="2"/>
          </rPr>
          <t>Non-Editable</t>
        </r>
      </text>
    </comment>
    <comment ref="G87"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87" authorId="0">
      <text>
        <r>
          <rPr>
            <b/>
            <sz val="8"/>
            <rFont val="Tahoma"/>
            <family val="0"/>
          </rPr>
          <t xml:space="preserve">Total Subcategory in In Inventory: </t>
        </r>
        <r>
          <rPr>
            <i/>
            <sz val="8"/>
            <rFont val="Tahoma"/>
            <family val="2"/>
          </rPr>
          <t>Non-Editable</t>
        </r>
      </text>
    </comment>
    <comment ref="I87" authorId="0">
      <text>
        <r>
          <rPr>
            <b/>
            <sz val="8"/>
            <rFont val="Tahoma"/>
            <family val="0"/>
          </rPr>
          <t xml:space="preserve">Still Needed to fill Major Category 12, 6 &amp; 3 Month Goal: </t>
        </r>
        <r>
          <rPr>
            <i/>
            <sz val="8"/>
            <rFont val="Tahoma"/>
            <family val="2"/>
          </rPr>
          <t>Non-Editable</t>
        </r>
      </text>
    </comment>
    <comment ref="C116" authorId="0">
      <text>
        <r>
          <rPr>
            <b/>
            <sz val="8"/>
            <rFont val="Tahoma"/>
            <family val="0"/>
          </rPr>
          <t>Major Category Total:</t>
        </r>
        <r>
          <rPr>
            <sz val="8"/>
            <rFont val="Tahoma"/>
            <family val="0"/>
          </rPr>
          <t xml:space="preserve">
</t>
        </r>
        <r>
          <rPr>
            <i/>
            <sz val="8"/>
            <rFont val="Tahoma"/>
            <family val="2"/>
          </rPr>
          <t>Non-Editable</t>
        </r>
      </text>
    </comment>
    <comment ref="E116" authorId="0">
      <text>
        <r>
          <rPr>
            <b/>
            <sz val="8"/>
            <rFont val="Tahoma"/>
            <family val="0"/>
          </rPr>
          <t>Adult Goal Quantity for Major Category:</t>
        </r>
        <r>
          <rPr>
            <sz val="8"/>
            <rFont val="Tahoma"/>
            <family val="2"/>
          </rPr>
          <t xml:space="preserve"> </t>
        </r>
        <r>
          <rPr>
            <i/>
            <sz val="8"/>
            <rFont val="Tahoma"/>
            <family val="2"/>
          </rPr>
          <t>Non-Editable</t>
        </r>
      </text>
    </comment>
    <comment ref="G116"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116" authorId="0">
      <text>
        <r>
          <rPr>
            <b/>
            <sz val="8"/>
            <rFont val="Tahoma"/>
            <family val="0"/>
          </rPr>
          <t xml:space="preserve">Total Subcategory in In Inventory: </t>
        </r>
        <r>
          <rPr>
            <i/>
            <sz val="8"/>
            <rFont val="Tahoma"/>
            <family val="2"/>
          </rPr>
          <t>Non-Editable</t>
        </r>
      </text>
    </comment>
    <comment ref="I116" authorId="0">
      <text>
        <r>
          <rPr>
            <b/>
            <sz val="8"/>
            <rFont val="Tahoma"/>
            <family val="0"/>
          </rPr>
          <t xml:space="preserve">Still Needed to fill Major Category 12, 6 &amp; 3 Month Goal: </t>
        </r>
        <r>
          <rPr>
            <i/>
            <sz val="8"/>
            <rFont val="Tahoma"/>
            <family val="2"/>
          </rPr>
          <t>Non-Editable</t>
        </r>
      </text>
    </comment>
    <comment ref="C141" authorId="0">
      <text>
        <r>
          <rPr>
            <b/>
            <sz val="8"/>
            <rFont val="Tahoma"/>
            <family val="0"/>
          </rPr>
          <t>Major Category Total:</t>
        </r>
        <r>
          <rPr>
            <sz val="8"/>
            <rFont val="Tahoma"/>
            <family val="0"/>
          </rPr>
          <t xml:space="preserve">
</t>
        </r>
        <r>
          <rPr>
            <i/>
            <sz val="8"/>
            <rFont val="Tahoma"/>
            <family val="2"/>
          </rPr>
          <t>Non-Editable</t>
        </r>
      </text>
    </comment>
    <comment ref="E141" authorId="0">
      <text>
        <r>
          <rPr>
            <b/>
            <sz val="8"/>
            <rFont val="Tahoma"/>
            <family val="0"/>
          </rPr>
          <t>Adult Goal Quantity for Major Category:</t>
        </r>
        <r>
          <rPr>
            <sz val="8"/>
            <rFont val="Tahoma"/>
            <family val="2"/>
          </rPr>
          <t xml:space="preserve"> </t>
        </r>
        <r>
          <rPr>
            <i/>
            <sz val="8"/>
            <rFont val="Tahoma"/>
            <family val="2"/>
          </rPr>
          <t>Non-Editable</t>
        </r>
      </text>
    </comment>
    <comment ref="G141"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141" authorId="0">
      <text>
        <r>
          <rPr>
            <b/>
            <sz val="8"/>
            <rFont val="Tahoma"/>
            <family val="0"/>
          </rPr>
          <t xml:space="preserve">Total Subcategory in In Inventory: </t>
        </r>
        <r>
          <rPr>
            <i/>
            <sz val="8"/>
            <rFont val="Tahoma"/>
            <family val="2"/>
          </rPr>
          <t>Non-Editable</t>
        </r>
      </text>
    </comment>
    <comment ref="I141" authorId="0">
      <text>
        <r>
          <rPr>
            <b/>
            <sz val="8"/>
            <rFont val="Tahoma"/>
            <family val="0"/>
          </rPr>
          <t xml:space="preserve">Still Needed to fill Major Category 12, 6 &amp; 3 Month Goal: </t>
        </r>
        <r>
          <rPr>
            <i/>
            <sz val="8"/>
            <rFont val="Tahoma"/>
            <family val="2"/>
          </rPr>
          <t>Non-Editable</t>
        </r>
      </text>
    </comment>
    <comment ref="C163" authorId="0">
      <text>
        <r>
          <rPr>
            <b/>
            <sz val="8"/>
            <rFont val="Tahoma"/>
            <family val="0"/>
          </rPr>
          <t>Major Category Total:</t>
        </r>
        <r>
          <rPr>
            <sz val="8"/>
            <rFont val="Tahoma"/>
            <family val="0"/>
          </rPr>
          <t xml:space="preserve">
</t>
        </r>
        <r>
          <rPr>
            <i/>
            <sz val="8"/>
            <rFont val="Tahoma"/>
            <family val="2"/>
          </rPr>
          <t>Non-Editable</t>
        </r>
      </text>
    </comment>
    <comment ref="E163" authorId="0">
      <text>
        <r>
          <rPr>
            <b/>
            <sz val="8"/>
            <rFont val="Tahoma"/>
            <family val="0"/>
          </rPr>
          <t>Adult Goal Quantity for Major Category:</t>
        </r>
        <r>
          <rPr>
            <sz val="8"/>
            <rFont val="Tahoma"/>
            <family val="2"/>
          </rPr>
          <t xml:space="preserve"> </t>
        </r>
        <r>
          <rPr>
            <i/>
            <sz val="8"/>
            <rFont val="Tahoma"/>
            <family val="2"/>
          </rPr>
          <t>Non-Editable</t>
        </r>
      </text>
    </comment>
    <comment ref="G163"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163" authorId="0">
      <text>
        <r>
          <rPr>
            <b/>
            <sz val="8"/>
            <rFont val="Tahoma"/>
            <family val="0"/>
          </rPr>
          <t xml:space="preserve">Total Subcategory in In Inventory: </t>
        </r>
        <r>
          <rPr>
            <i/>
            <sz val="8"/>
            <rFont val="Tahoma"/>
            <family val="2"/>
          </rPr>
          <t>Non-Editable</t>
        </r>
      </text>
    </comment>
    <comment ref="I163" authorId="0">
      <text>
        <r>
          <rPr>
            <b/>
            <sz val="8"/>
            <rFont val="Tahoma"/>
            <family val="0"/>
          </rPr>
          <t xml:space="preserve">Still Needed to fill Major Category 12, 6 &amp; 3 Month Goal: </t>
        </r>
        <r>
          <rPr>
            <i/>
            <sz val="8"/>
            <rFont val="Tahoma"/>
            <family val="2"/>
          </rPr>
          <t>Non-Editable</t>
        </r>
      </text>
    </comment>
    <comment ref="C187" authorId="0">
      <text>
        <r>
          <rPr>
            <b/>
            <sz val="8"/>
            <rFont val="Tahoma"/>
            <family val="0"/>
          </rPr>
          <t>Major Category Total:</t>
        </r>
        <r>
          <rPr>
            <sz val="8"/>
            <rFont val="Tahoma"/>
            <family val="0"/>
          </rPr>
          <t xml:space="preserve">
</t>
        </r>
        <r>
          <rPr>
            <i/>
            <sz val="8"/>
            <rFont val="Tahoma"/>
            <family val="2"/>
          </rPr>
          <t>Non-Editable</t>
        </r>
      </text>
    </comment>
    <comment ref="E187" authorId="0">
      <text>
        <r>
          <rPr>
            <b/>
            <sz val="8"/>
            <rFont val="Tahoma"/>
            <family val="0"/>
          </rPr>
          <t>Adult Goal Quantity for Major Category:</t>
        </r>
        <r>
          <rPr>
            <sz val="8"/>
            <rFont val="Tahoma"/>
            <family val="2"/>
          </rPr>
          <t xml:space="preserve"> </t>
        </r>
        <r>
          <rPr>
            <i/>
            <sz val="8"/>
            <rFont val="Tahoma"/>
            <family val="2"/>
          </rPr>
          <t>Non-Editable</t>
        </r>
      </text>
    </comment>
    <comment ref="G187"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187" authorId="0">
      <text>
        <r>
          <rPr>
            <b/>
            <sz val="8"/>
            <rFont val="Tahoma"/>
            <family val="0"/>
          </rPr>
          <t xml:space="preserve">Total Subcategory in In Inventory: </t>
        </r>
        <r>
          <rPr>
            <i/>
            <sz val="8"/>
            <rFont val="Tahoma"/>
            <family val="2"/>
          </rPr>
          <t>Non-Editable</t>
        </r>
      </text>
    </comment>
    <comment ref="I187" authorId="0">
      <text>
        <r>
          <rPr>
            <b/>
            <sz val="8"/>
            <rFont val="Tahoma"/>
            <family val="0"/>
          </rPr>
          <t xml:space="preserve">Still Needed to fill Major Category 12, 6 &amp; 3 Month Goal: </t>
        </r>
        <r>
          <rPr>
            <i/>
            <sz val="8"/>
            <rFont val="Tahoma"/>
            <family val="2"/>
          </rPr>
          <t>Non-Editable</t>
        </r>
      </text>
    </comment>
    <comment ref="C212" authorId="0">
      <text>
        <r>
          <rPr>
            <b/>
            <sz val="8"/>
            <rFont val="Tahoma"/>
            <family val="0"/>
          </rPr>
          <t>Major Category Total:</t>
        </r>
        <r>
          <rPr>
            <sz val="8"/>
            <rFont val="Tahoma"/>
            <family val="0"/>
          </rPr>
          <t xml:space="preserve">
</t>
        </r>
        <r>
          <rPr>
            <i/>
            <sz val="8"/>
            <rFont val="Tahoma"/>
            <family val="2"/>
          </rPr>
          <t>Non-Editable</t>
        </r>
      </text>
    </comment>
    <comment ref="E212" authorId="0">
      <text>
        <r>
          <rPr>
            <b/>
            <sz val="8"/>
            <rFont val="Tahoma"/>
            <family val="0"/>
          </rPr>
          <t>Adult Goal Quantity for Major Category:</t>
        </r>
        <r>
          <rPr>
            <sz val="8"/>
            <rFont val="Tahoma"/>
            <family val="2"/>
          </rPr>
          <t xml:space="preserve"> </t>
        </r>
        <r>
          <rPr>
            <i/>
            <sz val="8"/>
            <rFont val="Tahoma"/>
            <family val="2"/>
          </rPr>
          <t>Non-Editable</t>
        </r>
      </text>
    </comment>
    <comment ref="G212"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212" authorId="0">
      <text>
        <r>
          <rPr>
            <b/>
            <sz val="8"/>
            <rFont val="Tahoma"/>
            <family val="0"/>
          </rPr>
          <t xml:space="preserve">Total Subcategory in In Inventory: </t>
        </r>
        <r>
          <rPr>
            <i/>
            <sz val="8"/>
            <rFont val="Tahoma"/>
            <family val="2"/>
          </rPr>
          <t>Non-Editable</t>
        </r>
      </text>
    </comment>
    <comment ref="I212" authorId="0">
      <text>
        <r>
          <rPr>
            <b/>
            <sz val="8"/>
            <rFont val="Tahoma"/>
            <family val="0"/>
          </rPr>
          <t xml:space="preserve">Still Needed to fill Major Category 12, 6 &amp; 3 Month Goal: </t>
        </r>
        <r>
          <rPr>
            <i/>
            <sz val="8"/>
            <rFont val="Tahoma"/>
            <family val="2"/>
          </rPr>
          <t>Non-Editable</t>
        </r>
      </text>
    </comment>
    <comment ref="C4" authorId="0">
      <text>
        <r>
          <rPr>
            <b/>
            <sz val="8"/>
            <rFont val="Tahoma"/>
            <family val="0"/>
          </rPr>
          <t xml:space="preserve">Goals &amp; Review:
</t>
        </r>
        <r>
          <rPr>
            <sz val="8"/>
            <rFont val="Tahoma"/>
            <family val="2"/>
          </rPr>
          <t xml:space="preserve">Select Items you wish to store and the adult goal quantity to deterimine your family goals.
Then, after undating the inventory view, review your needs for 12, 7,and 3 month goals. </t>
        </r>
        <r>
          <rPr>
            <sz val="8"/>
            <rFont val="Tahoma"/>
            <family val="0"/>
          </rPr>
          <t xml:space="preserve">
</t>
        </r>
      </text>
    </comment>
    <comment ref="M4" authorId="0">
      <text>
        <r>
          <rPr>
            <b/>
            <sz val="8"/>
            <rFont val="Tahoma"/>
            <family val="0"/>
          </rPr>
          <t xml:space="preserve">Inventory:
</t>
        </r>
        <r>
          <rPr>
            <sz val="8"/>
            <rFont val="Tahoma"/>
            <family val="2"/>
          </rPr>
          <t>Enter the number of containers you have in stock for each item. Also enter the number of units per container for each type of container you have.</t>
        </r>
        <r>
          <rPr>
            <sz val="8"/>
            <rFont val="Tahoma"/>
            <family val="0"/>
          </rPr>
          <t xml:space="preserve">
</t>
        </r>
      </text>
    </comment>
    <comment ref="Z4" authorId="0">
      <text>
        <r>
          <rPr>
            <b/>
            <sz val="8"/>
            <rFont val="Tahoma"/>
            <family val="0"/>
          </rPr>
          <t>Budget:</t>
        </r>
        <r>
          <rPr>
            <sz val="8"/>
            <rFont val="Tahoma"/>
            <family val="0"/>
          </rPr>
          <t xml:space="preserve">
Enter the price per unit for each item you have a goal amount for. 12, 6, 3, and an additional 1 month costs are automatically calculated so you can plan to include incremental food storage purchases in your regular shopping.</t>
        </r>
      </text>
    </comment>
    <comment ref="Z1" authorId="0">
      <text>
        <r>
          <rPr>
            <sz val="8"/>
            <rFont val="Tahoma"/>
            <family val="2"/>
          </rPr>
          <t xml:space="preserve">1) Using the </t>
        </r>
        <r>
          <rPr>
            <b/>
            <sz val="8"/>
            <rFont val="Tahoma"/>
            <family val="2"/>
          </rPr>
          <t>View drop down menu</t>
        </r>
        <r>
          <rPr>
            <sz val="8"/>
            <rFont val="Tahoma"/>
            <family val="2"/>
          </rPr>
          <t xml:space="preserve">, start with </t>
        </r>
        <r>
          <rPr>
            <u val="single"/>
            <sz val="8"/>
            <rFont val="Tahoma"/>
            <family val="2"/>
          </rPr>
          <t>Goals &amp; Review View</t>
        </r>
        <r>
          <rPr>
            <b/>
            <sz val="8"/>
            <rFont val="Tahoma"/>
            <family val="2"/>
          </rPr>
          <t xml:space="preserve"> </t>
        </r>
        <r>
          <rPr>
            <sz val="8"/>
            <rFont val="Tahoma"/>
            <family val="2"/>
          </rPr>
          <t xml:space="preserve">to select items you wish to store. 
2) Then select the </t>
        </r>
        <r>
          <rPr>
            <u val="single"/>
            <sz val="8"/>
            <rFont val="Tahoma"/>
            <family val="2"/>
          </rPr>
          <t>Inventory View</t>
        </r>
        <r>
          <rPr>
            <sz val="8"/>
            <rFont val="Tahoma"/>
            <family val="2"/>
          </rPr>
          <t xml:space="preserve"> to record your inventory. 
3) Enter item prices and plan your food storage purchases using the </t>
        </r>
        <r>
          <rPr>
            <u val="single"/>
            <sz val="8"/>
            <rFont val="Tahoma"/>
            <family val="2"/>
          </rPr>
          <t>Budget View</t>
        </r>
        <r>
          <rPr>
            <sz val="8"/>
            <rFont val="Tahoma"/>
            <family val="2"/>
          </rPr>
          <t xml:space="preserve">.
4) Review your need in Goals &amp; Review View.
Repeat for each food category with the </t>
        </r>
        <r>
          <rPr>
            <b/>
            <sz val="8"/>
            <rFont val="Tahoma"/>
            <family val="2"/>
          </rPr>
          <t>Category drop down menu.</t>
        </r>
        <r>
          <rPr>
            <sz val="8"/>
            <rFont val="Tahoma"/>
            <family val="2"/>
          </rPr>
          <t xml:space="preserve">
</t>
        </r>
      </text>
    </comment>
    <comment ref="C1" authorId="0">
      <text>
        <r>
          <rPr>
            <sz val="8"/>
            <rFont val="Tahoma"/>
            <family val="2"/>
          </rPr>
          <t xml:space="preserve">1) Using the </t>
        </r>
        <r>
          <rPr>
            <b/>
            <sz val="8"/>
            <rFont val="Tahoma"/>
            <family val="2"/>
          </rPr>
          <t>View drop down menu</t>
        </r>
        <r>
          <rPr>
            <sz val="8"/>
            <rFont val="Tahoma"/>
            <family val="2"/>
          </rPr>
          <t xml:space="preserve">, start with </t>
        </r>
        <r>
          <rPr>
            <u val="single"/>
            <sz val="8"/>
            <rFont val="Tahoma"/>
            <family val="2"/>
          </rPr>
          <t>Goals &amp; Review View</t>
        </r>
        <r>
          <rPr>
            <sz val="8"/>
            <rFont val="Tahoma"/>
            <family val="2"/>
          </rPr>
          <t xml:space="preserve"> to select items you wish to store. 
2) Then select the</t>
        </r>
        <r>
          <rPr>
            <u val="single"/>
            <sz val="8"/>
            <rFont val="Tahoma"/>
            <family val="2"/>
          </rPr>
          <t xml:space="preserve"> Inventory View</t>
        </r>
        <r>
          <rPr>
            <sz val="8"/>
            <rFont val="Tahoma"/>
            <family val="2"/>
          </rPr>
          <t xml:space="preserve"> to record your inventory. 
3) Enter item prices and plan your food storage purchases using the </t>
        </r>
        <r>
          <rPr>
            <u val="single"/>
            <sz val="8"/>
            <rFont val="Tahoma"/>
            <family val="2"/>
          </rPr>
          <t>Budget View</t>
        </r>
        <r>
          <rPr>
            <sz val="8"/>
            <rFont val="Tahoma"/>
            <family val="2"/>
          </rPr>
          <t xml:space="preserve">.
4) Review your need in Goals &amp; Review View.
Repeat for each food category with the </t>
        </r>
        <r>
          <rPr>
            <b/>
            <sz val="8"/>
            <rFont val="Tahoma"/>
            <family val="2"/>
          </rPr>
          <t>Category drop down menu</t>
        </r>
        <r>
          <rPr>
            <sz val="8"/>
            <rFont val="Tahoma"/>
            <family val="2"/>
          </rPr>
          <t>.</t>
        </r>
        <r>
          <rPr>
            <sz val="8"/>
            <rFont val="Tahoma"/>
            <family val="0"/>
          </rPr>
          <t xml:space="preserve">
</t>
        </r>
      </text>
    </comment>
    <comment ref="M1" authorId="0">
      <text>
        <r>
          <rPr>
            <sz val="8"/>
            <rFont val="Tahoma"/>
            <family val="2"/>
          </rPr>
          <t>1) Using the</t>
        </r>
        <r>
          <rPr>
            <b/>
            <sz val="8"/>
            <rFont val="Tahoma"/>
            <family val="2"/>
          </rPr>
          <t xml:space="preserve"> View drop down menu</t>
        </r>
        <r>
          <rPr>
            <sz val="8"/>
            <rFont val="Tahoma"/>
            <family val="2"/>
          </rPr>
          <t xml:space="preserve">, start with </t>
        </r>
        <r>
          <rPr>
            <u val="single"/>
            <sz val="8"/>
            <rFont val="Tahoma"/>
            <family val="2"/>
          </rPr>
          <t>Goals &amp; Review View</t>
        </r>
        <r>
          <rPr>
            <sz val="8"/>
            <rFont val="Tahoma"/>
            <family val="2"/>
          </rPr>
          <t xml:space="preserve"> to select items you wish to store. 
2) Then select the </t>
        </r>
        <r>
          <rPr>
            <u val="single"/>
            <sz val="8"/>
            <rFont val="Tahoma"/>
            <family val="2"/>
          </rPr>
          <t>Inventory View</t>
        </r>
        <r>
          <rPr>
            <sz val="8"/>
            <rFont val="Tahoma"/>
            <family val="2"/>
          </rPr>
          <t xml:space="preserve"> to record your inventory. 
3) Enter item prices and plan your food storage purchases using the </t>
        </r>
        <r>
          <rPr>
            <u val="single"/>
            <sz val="8"/>
            <rFont val="Tahoma"/>
            <family val="2"/>
          </rPr>
          <t>Budget View</t>
        </r>
        <r>
          <rPr>
            <sz val="8"/>
            <rFont val="Tahoma"/>
            <family val="2"/>
          </rPr>
          <t xml:space="preserve">.
4) Review your need in </t>
        </r>
        <r>
          <rPr>
            <u val="single"/>
            <sz val="8"/>
            <rFont val="Tahoma"/>
            <family val="2"/>
          </rPr>
          <t>Goals &amp; Review View</t>
        </r>
        <r>
          <rPr>
            <sz val="8"/>
            <rFont val="Tahoma"/>
            <family val="2"/>
          </rPr>
          <t xml:space="preserve">.
Repeat for each food category with the </t>
        </r>
        <r>
          <rPr>
            <b/>
            <sz val="8"/>
            <rFont val="Tahoma"/>
            <family val="2"/>
          </rPr>
          <t>Category drop down menu</t>
        </r>
        <r>
          <rPr>
            <sz val="8"/>
            <rFont val="Tahoma"/>
            <family val="2"/>
          </rPr>
          <t>.</t>
        </r>
      </text>
    </comment>
    <comment ref="AI6" authorId="0">
      <text>
        <r>
          <rPr>
            <b/>
            <sz val="8"/>
            <rFont val="Tahoma"/>
            <family val="0"/>
          </rPr>
          <t>Source:</t>
        </r>
        <r>
          <rPr>
            <sz val="8"/>
            <rFont val="Tahoma"/>
            <family val="0"/>
          </rPr>
          <t xml:space="preserve">
Indicate your best source for purchasing items in bulk (Store Name, Address, Phone #, Website, Contact, etc.)</t>
        </r>
      </text>
    </comment>
    <comment ref="AI8" authorId="0">
      <text>
        <r>
          <rPr>
            <b/>
            <sz val="8"/>
            <rFont val="Tahoma"/>
            <family val="0"/>
          </rPr>
          <t>Source:</t>
        </r>
        <r>
          <rPr>
            <sz val="8"/>
            <rFont val="Tahoma"/>
            <family val="0"/>
          </rPr>
          <t xml:space="preserve">
Indicate your best source for purchasing items in bulk (Store Name, Address, Phone #, Website, Contact, etc.)</t>
        </r>
      </text>
    </comment>
    <comment ref="AK22" authorId="0">
      <text>
        <r>
          <rPr>
            <b/>
            <sz val="8"/>
            <rFont val="Tahoma"/>
            <family val="0"/>
          </rPr>
          <t>Source:</t>
        </r>
        <r>
          <rPr>
            <sz val="8"/>
            <rFont val="Tahoma"/>
            <family val="0"/>
          </rPr>
          <t xml:space="preserve">
Indicate your best source for purchasing items in bulk (Store Name, Address, Phone #, Website, Contact, etc.)</t>
        </r>
      </text>
    </comment>
    <comment ref="AK24" authorId="0">
      <text>
        <r>
          <rPr>
            <b/>
            <sz val="8"/>
            <rFont val="Tahoma"/>
            <family val="0"/>
          </rPr>
          <t>Source:</t>
        </r>
        <r>
          <rPr>
            <sz val="8"/>
            <rFont val="Tahoma"/>
            <family val="0"/>
          </rPr>
          <t xml:space="preserve">
Indicate your best source for purchasing items in bulk (Store Name, Address, Phone #, Website, Contact, etc.)</t>
        </r>
      </text>
    </comment>
  </commentList>
</comments>
</file>

<file path=xl/sharedStrings.xml><?xml version="1.0" encoding="utf-8"?>
<sst xmlns="http://schemas.openxmlformats.org/spreadsheetml/2006/main" count="888" uniqueCount="286">
  <si>
    <t>Computing Your Family Factor</t>
  </si>
  <si>
    <t>Family Members</t>
  </si>
  <si>
    <t># People</t>
  </si>
  <si>
    <t>Total Points</t>
  </si>
  <si>
    <t>Male Adult</t>
  </si>
  <si>
    <t>Female Adult</t>
  </si>
  <si>
    <t>Male Teenager</t>
  </si>
  <si>
    <t>Female Teenager</t>
  </si>
  <si>
    <t>Male Child</t>
  </si>
  <si>
    <t>Female Child</t>
  </si>
  <si>
    <t>Infant (1-3yrs)</t>
  </si>
  <si>
    <t>Total Family Points</t>
  </si>
  <si>
    <t>Family Factor</t>
  </si>
  <si>
    <t>Storage Item</t>
  </si>
  <si>
    <t>Shelf Life (Months)</t>
  </si>
  <si>
    <t>Units</t>
  </si>
  <si>
    <t>gallons</t>
  </si>
  <si>
    <t>Portable treatment unit</t>
  </si>
  <si>
    <t>indefinite</t>
  </si>
  <si>
    <t>6</t>
  </si>
  <si>
    <t>pkg</t>
  </si>
  <si>
    <t>oz</t>
  </si>
  <si>
    <t>Wheat, Other Whole Grains, Flours and Beans</t>
  </si>
  <si>
    <t>lbs</t>
  </si>
  <si>
    <t>60</t>
  </si>
  <si>
    <t>Total Other Whole Grains</t>
  </si>
  <si>
    <t>rye</t>
  </si>
  <si>
    <t>barley</t>
  </si>
  <si>
    <t>wheat</t>
  </si>
  <si>
    <t>rice</t>
  </si>
  <si>
    <t>Total Flours</t>
  </si>
  <si>
    <t>rice, brown</t>
  </si>
  <si>
    <t>Total Rice</t>
  </si>
  <si>
    <t>lasagna, macaroni, spaghetti</t>
  </si>
  <si>
    <t>noodles, egg</t>
  </si>
  <si>
    <t>Total Pasta</t>
  </si>
  <si>
    <t>barley, pearled</t>
  </si>
  <si>
    <t>12</t>
  </si>
  <si>
    <t>granola</t>
  </si>
  <si>
    <t>shredded wheat</t>
  </si>
  <si>
    <t>Kidney</t>
  </si>
  <si>
    <t>Navy</t>
  </si>
  <si>
    <t>White</t>
  </si>
  <si>
    <t>Pinto</t>
  </si>
  <si>
    <t>Soybeans</t>
  </si>
  <si>
    <t>varies</t>
  </si>
  <si>
    <t>grain mill/grinder</t>
  </si>
  <si>
    <t>Mixer</t>
  </si>
  <si>
    <t>Grand Total</t>
  </si>
  <si>
    <t>Basic Needs Summary</t>
  </si>
  <si>
    <t>Water - Emergency Supplies and Treatment (2 weeks)</t>
  </si>
  <si>
    <t>Powdered Milk, Dairy Products, &amp; Eggs</t>
  </si>
  <si>
    <t>Sweeteners - Honey, Sugar, &amp; Syrup</t>
  </si>
  <si>
    <t>Cooking Catalyst</t>
  </si>
  <si>
    <t>Sprouting Seeds &amp; Supplies</t>
  </si>
  <si>
    <t>Still Need for 12 months</t>
  </si>
  <si>
    <t>Still Need for 6 months</t>
  </si>
  <si>
    <t>Still Need for 3 months</t>
  </si>
  <si>
    <t>Water Treatment Equipment</t>
  </si>
  <si>
    <t>Equipment and Supplies</t>
  </si>
  <si>
    <t>buttermilk powder</t>
  </si>
  <si>
    <t>milk, aseptic packaging</t>
  </si>
  <si>
    <t>non-dairy creamer</t>
  </si>
  <si>
    <t>pkg. Date</t>
  </si>
  <si>
    <t>Total Dairy Products</t>
  </si>
  <si>
    <t>dz</t>
  </si>
  <si>
    <t>cans</t>
  </si>
  <si>
    <t>Total Canned Milk</t>
  </si>
  <si>
    <t>Yogurt making items</t>
  </si>
  <si>
    <t>cheese press</t>
  </si>
  <si>
    <t>cooking thermometer</t>
  </si>
  <si>
    <t>cheese cloth</t>
  </si>
  <si>
    <t>Rennet/ Junket tablets</t>
  </si>
  <si>
    <t>tablets</t>
  </si>
  <si>
    <t>yard</t>
  </si>
  <si>
    <t>yogurt starter</t>
  </si>
  <si>
    <t>yogurt maker</t>
  </si>
  <si>
    <t>1/family</t>
  </si>
  <si>
    <t>Tbsp</t>
  </si>
  <si>
    <t>Eggs, dehydrated/freeze-dried (3.6 oz/dz)</t>
  </si>
  <si>
    <t>Milk, Canned (select 24 cans minimum)</t>
  </si>
  <si>
    <t>Water - Emergency Supplies and Treatments (2 weeks)</t>
  </si>
  <si>
    <t>Carrots</t>
  </si>
  <si>
    <t>Apple Slices</t>
  </si>
  <si>
    <t>Potato Pearls</t>
  </si>
  <si>
    <t>Cocoa mix, Hot</t>
  </si>
  <si>
    <t>Pudding, Vanilla</t>
  </si>
  <si>
    <t xml:space="preserve">Onions, Chopped Dry </t>
  </si>
  <si>
    <t>Pudding, Chocolate</t>
  </si>
  <si>
    <t>Beans, Refried - flakes</t>
  </si>
  <si>
    <t>corn syrup</t>
  </si>
  <si>
    <t>maple syrup</t>
  </si>
  <si>
    <t>Molasses</t>
  </si>
  <si>
    <t>Total syrup</t>
  </si>
  <si>
    <t xml:space="preserve">Cheese making items </t>
  </si>
  <si>
    <t>white</t>
  </si>
  <si>
    <t>brown</t>
  </si>
  <si>
    <t>powdered</t>
  </si>
  <si>
    <t>Maple sugar</t>
  </si>
  <si>
    <t>sugar substitutes</t>
  </si>
  <si>
    <t>Total sugar</t>
  </si>
  <si>
    <t>Sweeteners - Honey, Sugar and Syrup</t>
  </si>
  <si>
    <t>Yeast, active dry</t>
  </si>
  <si>
    <t>baking powder</t>
  </si>
  <si>
    <t>Baking soda</t>
  </si>
  <si>
    <t>Total Leaveners</t>
  </si>
  <si>
    <t>gal</t>
  </si>
  <si>
    <t>shortening</t>
  </si>
  <si>
    <t>Total oils</t>
  </si>
  <si>
    <t>Cooking Catalysts - Salts, oils, leaveners</t>
  </si>
  <si>
    <t>Commercial bottled water</t>
  </si>
  <si>
    <t>testing kit, water quality</t>
  </si>
  <si>
    <t>Bleach, 5.25% sodium hypochlorite</t>
  </si>
  <si>
    <t>iodine tincture, 2%</t>
  </si>
  <si>
    <t>water treatment tablets 2 oz pkg.</t>
  </si>
  <si>
    <t>beans (from dried beans)</t>
  </si>
  <si>
    <t>buckwheat (kasha)</t>
  </si>
  <si>
    <t>Hominy &amp; grits</t>
  </si>
  <si>
    <t>corn (dry cereal)</t>
  </si>
  <si>
    <t>rice (dry cereal)</t>
  </si>
  <si>
    <t>corn/hominy/posole (ready to heat)</t>
  </si>
  <si>
    <t>wheat/rice, creamed (ready to heat)</t>
  </si>
  <si>
    <t>Total Cereals</t>
  </si>
  <si>
    <t>Total Legumes</t>
  </si>
  <si>
    <t>peas</t>
  </si>
  <si>
    <t>Peas, green, split, or black-eyed</t>
  </si>
  <si>
    <t>Lima</t>
  </si>
  <si>
    <t>Lentils</t>
  </si>
  <si>
    <t>Total Water</t>
  </si>
  <si>
    <t>Total Honey</t>
  </si>
  <si>
    <t>creamed honey</t>
  </si>
  <si>
    <t>Honey (unfiltered, or unprocessed)</t>
  </si>
  <si>
    <t>diluted honey</t>
  </si>
  <si>
    <t>Salt - all kinds</t>
  </si>
  <si>
    <t>Total TVP</t>
  </si>
  <si>
    <t>lard</t>
  </si>
  <si>
    <t>sesame</t>
  </si>
  <si>
    <t>alfalfa</t>
  </si>
  <si>
    <t>barley, unhulled</t>
  </si>
  <si>
    <t>soybean</t>
  </si>
  <si>
    <t>vegetables - your selection</t>
  </si>
  <si>
    <t>your selection</t>
  </si>
  <si>
    <t>Equipment for Sprouting</t>
  </si>
  <si>
    <t>nylon netting</t>
  </si>
  <si>
    <t>Sprouting - Seeds &amp; Supplies</t>
  </si>
  <si>
    <t>colander or strainer</t>
  </si>
  <si>
    <t>rubber bands</t>
  </si>
  <si>
    <t>commercial sprouter</t>
  </si>
  <si>
    <r>
      <t xml:space="preserve">quart jar w/ screw ring &amp; seal </t>
    </r>
    <r>
      <rPr>
        <sz val="8"/>
        <rFont val="Arial"/>
        <family val="2"/>
      </rPr>
      <t>(for homemade sprouter)</t>
    </r>
  </si>
  <si>
    <t>Wheat, Other Whole Grains &amp; Flours</t>
  </si>
  <si>
    <t>Legumes (dry beans, peas, lentils)</t>
  </si>
  <si>
    <t>Legumes</t>
  </si>
  <si>
    <t>Dried soup mix (bean)</t>
  </si>
  <si>
    <t>Mayonnaise</t>
  </si>
  <si>
    <t>1</t>
  </si>
  <si>
    <t>Enriched white flour/ wheat-gluten</t>
  </si>
  <si>
    <t>wheat-bran, fresh ground</t>
  </si>
  <si>
    <t>Salad dressing (mayonnaise type)</t>
  </si>
  <si>
    <t>peanut butter</t>
  </si>
  <si>
    <t>Syrup &amp; Jams (as needed)</t>
  </si>
  <si>
    <t xml:space="preserve">Jams or preserves </t>
  </si>
  <si>
    <t xml:space="preserve">Powdered fruit drink </t>
  </si>
  <si>
    <t xml:space="preserve">Flavored gelatin </t>
  </si>
  <si>
    <t>Other Church Offered Food Storage Items and Additional Misc. Items</t>
  </si>
  <si>
    <t>Church Offered Items</t>
  </si>
  <si>
    <t>Miscellaneous Items</t>
  </si>
  <si>
    <t xml:space="preserve">Water  Basic Sustenance-Level - drinking, some cooking, washing hands &amp; face (14 gal. min. per adult)    Basic Maintenance-Level - drinking, cooking &amp; preparing food, cleaning utensils, washing body (28 gal. min. per adult) </t>
  </si>
  <si>
    <t>Eggs, powdered (25 dozen minimum)</t>
  </si>
  <si>
    <t>Pink</t>
  </si>
  <si>
    <t>Making the Best of Basics</t>
  </si>
  <si>
    <t>LDS Church</t>
  </si>
  <si>
    <t>Other Source</t>
  </si>
  <si>
    <t>Family Total Goal from Basic Foods</t>
  </si>
  <si>
    <t>Recommended Adult Quantities from Various Sources</t>
  </si>
  <si>
    <r>
      <t>Water - Emergency Supplies and Treatment</t>
    </r>
    <r>
      <rPr>
        <sz val="10"/>
        <rFont val="Arial"/>
        <family val="0"/>
      </rPr>
      <t xml:space="preserve"> </t>
    </r>
    <r>
      <rPr>
        <sz val="8"/>
        <rFont val="Arial"/>
        <family val="2"/>
      </rPr>
      <t>(2 weeks)</t>
    </r>
  </si>
  <si>
    <t>120</t>
  </si>
  <si>
    <t>96</t>
  </si>
  <si>
    <t>36</t>
  </si>
  <si>
    <t>24</t>
  </si>
  <si>
    <t>4</t>
  </si>
  <si>
    <t>7</t>
  </si>
  <si>
    <t>9</t>
  </si>
  <si>
    <t>48</t>
  </si>
  <si>
    <t>0.5</t>
  </si>
  <si>
    <t>2</t>
  </si>
  <si>
    <t>3</t>
  </si>
  <si>
    <t>oats - all types</t>
  </si>
  <si>
    <t>Minimum Use Rate (units/month)</t>
  </si>
  <si>
    <t>Minimum)</t>
  </si>
  <si>
    <t>In Inventory</t>
  </si>
  <si>
    <t>Family Total Goal</t>
  </si>
  <si>
    <t>#10 Cans in Stock</t>
  </si>
  <si>
    <t>Units per #10 Can</t>
  </si>
  <si>
    <t>Pouches in Stock</t>
  </si>
  <si>
    <t>Units per Pouch</t>
  </si>
  <si>
    <t>5 Gal Bucket in Stock</t>
  </si>
  <si>
    <t>Units per 5 Gal Bucket</t>
  </si>
  <si>
    <t>Other Container</t>
  </si>
  <si>
    <t>Units Per Container</t>
  </si>
  <si>
    <t xml:space="preserve"># of Containers in Stock </t>
  </si>
  <si>
    <t>Total Church Offered Items</t>
  </si>
  <si>
    <t>Total Miscellaneous Items</t>
  </si>
  <si>
    <t>Scaling Points</t>
  </si>
  <si>
    <t>Unknown Source from the Web</t>
  </si>
  <si>
    <t>Other</t>
  </si>
  <si>
    <t>Scaling Points from Other Sources</t>
  </si>
  <si>
    <t xml:space="preserve"> Bottled Water in Stock (qrt)</t>
  </si>
  <si>
    <t>LDS Church (Approximated from food calculator program)</t>
  </si>
  <si>
    <t>Personalized Yearly Amount</t>
  </si>
  <si>
    <t>Price Per Unit</t>
  </si>
  <si>
    <t>Cost to Complete 12 Month Goal</t>
  </si>
  <si>
    <t>Cost to Complete 6 Month Goal</t>
  </si>
  <si>
    <t>Cost to Complete 3 Month Goal</t>
  </si>
  <si>
    <t>for 2 weeks</t>
  </si>
  <si>
    <t>Wheat, whole grain - all types</t>
  </si>
  <si>
    <t>corn</t>
  </si>
  <si>
    <t>popcorn (whole kernel)</t>
  </si>
  <si>
    <t>(Adult Total:</t>
  </si>
  <si>
    <t xml:space="preserve">evaporated milk (about 0.75 lb per 12 fluid oz can) </t>
  </si>
  <si>
    <t>condensed, sweetened (about 0.75 lb per 14 oz weight can)</t>
  </si>
  <si>
    <r>
      <t xml:space="preserve">Beans, Grains &amp; Seeds </t>
    </r>
    <r>
      <rPr>
        <sz val="10"/>
        <color indexed="9"/>
        <rFont val="Arial"/>
        <family val="2"/>
      </rPr>
      <t xml:space="preserve">- </t>
    </r>
    <r>
      <rPr>
        <sz val="8"/>
        <color indexed="9"/>
        <rFont val="Arial"/>
        <family val="2"/>
      </rPr>
      <t>for best results, use only untreated or organic beans, grains &amp; seeds</t>
    </r>
  </si>
  <si>
    <t>Water, potable</t>
  </si>
  <si>
    <t>Water, aseptic pkg</t>
  </si>
  <si>
    <t>cornmeal</t>
  </si>
  <si>
    <t>rice, white</t>
  </si>
  <si>
    <t>rice, wild</t>
  </si>
  <si>
    <r>
      <t xml:space="preserve">Wheat </t>
    </r>
    <r>
      <rPr>
        <sz val="10"/>
        <color indexed="9"/>
        <rFont val="Arial"/>
        <family val="2"/>
      </rPr>
      <t>(Recommended: 50% of Major Category minimum)</t>
    </r>
  </si>
  <si>
    <r>
      <t xml:space="preserve">Cereals - whole grain &amp; prepared </t>
    </r>
    <r>
      <rPr>
        <sz val="10"/>
        <color indexed="9"/>
        <rFont val="Arial"/>
        <family val="2"/>
      </rPr>
      <t>(Recommended: 8% of Major Category minimum)</t>
    </r>
  </si>
  <si>
    <r>
      <t xml:space="preserve">Flours, fresh-ground &amp; commercial </t>
    </r>
    <r>
      <rPr>
        <sz val="10"/>
        <color indexed="9"/>
        <rFont val="Arial"/>
        <family val="2"/>
      </rPr>
      <t>(Recommended: 6% of Major Category minimum)</t>
    </r>
  </si>
  <si>
    <r>
      <t xml:space="preserve">Other Whole Grains </t>
    </r>
    <r>
      <rPr>
        <sz val="10"/>
        <color indexed="9"/>
        <rFont val="Arial"/>
        <family val="2"/>
      </rPr>
      <t>(Recommended: 16% of Major Category minimum)</t>
    </r>
  </si>
  <si>
    <r>
      <t xml:space="preserve">Rice, whole grain </t>
    </r>
    <r>
      <rPr>
        <sz val="10"/>
        <color indexed="9"/>
        <rFont val="Arial"/>
        <family val="2"/>
      </rPr>
      <t>(Recommended: 7% of Major Category minimum)</t>
    </r>
  </si>
  <si>
    <r>
      <t xml:space="preserve">Pasta </t>
    </r>
    <r>
      <rPr>
        <sz val="10"/>
        <color indexed="9"/>
        <rFont val="Arial"/>
        <family val="2"/>
      </rPr>
      <t>(Recommended: 6% of Major Category minimum)</t>
    </r>
  </si>
  <si>
    <t>Actual percentage of major category:</t>
  </si>
  <si>
    <r>
      <t xml:space="preserve">Legumes - dried </t>
    </r>
    <r>
      <rPr>
        <sz val="10"/>
        <color indexed="9"/>
        <rFont val="Arial"/>
        <family val="2"/>
      </rPr>
      <t>(Recommended: 75% of Major Category minimum)</t>
    </r>
  </si>
  <si>
    <r>
      <t>Textured vegetable protein (TVP)</t>
    </r>
    <r>
      <rPr>
        <sz val="10"/>
        <color indexed="9"/>
        <rFont val="Arial"/>
        <family val="2"/>
      </rPr>
      <t xml:space="preserve"> (Recommended: 11% of Major Category minimum)</t>
    </r>
  </si>
  <si>
    <r>
      <t xml:space="preserve">Dairy products, dried &amp; powdered </t>
    </r>
    <r>
      <rPr>
        <sz val="10"/>
        <color indexed="9"/>
        <rFont val="Arial"/>
        <family val="2"/>
      </rPr>
      <t>(Recommended: 75% of Major Category minimum)</t>
    </r>
  </si>
  <si>
    <t>milk, non-instant powdered</t>
  </si>
  <si>
    <t>butter, dehydrated</t>
  </si>
  <si>
    <t>cheese, dehydrated</t>
  </si>
  <si>
    <r>
      <t xml:space="preserve">Honey </t>
    </r>
    <r>
      <rPr>
        <sz val="10"/>
        <color indexed="9"/>
        <rFont val="Arial"/>
        <family val="2"/>
      </rPr>
      <t xml:space="preserve"> (Recommended: 65% of Major Category minimum)</t>
    </r>
  </si>
  <si>
    <r>
      <t xml:space="preserve">Sugar </t>
    </r>
    <r>
      <rPr>
        <sz val="10"/>
        <color indexed="9"/>
        <rFont val="Arial"/>
        <family val="2"/>
      </rPr>
      <t>(Recommended: 20% of Major Category minimum)</t>
    </r>
  </si>
  <si>
    <r>
      <t xml:space="preserve">Salt </t>
    </r>
    <r>
      <rPr>
        <sz val="10"/>
        <color indexed="9"/>
        <rFont val="Arial"/>
        <family val="2"/>
      </rPr>
      <t>(Recommended: 6% of Major Category minimum)</t>
    </r>
  </si>
  <si>
    <t>vegetable oil (7.5 lbs/gal.)</t>
  </si>
  <si>
    <t>flavorings - ham/beef/chicken/vegetable</t>
  </si>
  <si>
    <t>TVP, unflavored</t>
  </si>
  <si>
    <t>Vinegar (7.75 lb/gal)</t>
  </si>
  <si>
    <r>
      <t xml:space="preserve">Leaveners </t>
    </r>
    <r>
      <rPr>
        <sz val="10"/>
        <color indexed="9"/>
        <rFont val="Arial"/>
        <family val="2"/>
      </rPr>
      <t>(Recommended: 10% of Major Category minimum)</t>
    </r>
  </si>
  <si>
    <r>
      <t xml:space="preserve">Oils, fats, shortening </t>
    </r>
    <r>
      <rPr>
        <sz val="10"/>
        <color indexed="9"/>
        <rFont val="Arial"/>
        <family val="2"/>
      </rPr>
      <t>(Recommended: 80% of Major Category minimum)</t>
    </r>
  </si>
  <si>
    <t>1 Gal bottle in Stock</t>
  </si>
  <si>
    <t>5 Gal bottle in Stock</t>
  </si>
  <si>
    <t>10 Gal bottle in Stock</t>
  </si>
  <si>
    <t>15 Gal bottle in Stock</t>
  </si>
  <si>
    <t>25 Gal barrel in Stock</t>
  </si>
  <si>
    <t>50 Gal barrel in Stock</t>
  </si>
  <si>
    <t>? Gallon Container (gallons)</t>
  </si>
  <si>
    <t>? Gal Container in Stock</t>
  </si>
  <si>
    <t>Current Months of Storage for Family</t>
  </si>
  <si>
    <r>
      <t xml:space="preserve">Source- </t>
    </r>
    <r>
      <rPr>
        <sz val="10"/>
        <rFont val="Arial"/>
        <family val="2"/>
      </rPr>
      <t>Enter Source code from chart below</t>
    </r>
  </si>
  <si>
    <t>Total Budget Needed</t>
  </si>
  <si>
    <t>Inventory</t>
  </si>
  <si>
    <t>Budget</t>
  </si>
  <si>
    <t>Still Needed for 12 months</t>
  </si>
  <si>
    <t>Still Needed for 6 months</t>
  </si>
  <si>
    <t>Still Needed for 3 months</t>
  </si>
  <si>
    <t>All</t>
  </si>
  <si>
    <t>Goals &amp; Review</t>
  </si>
  <si>
    <t>Containers</t>
  </si>
  <si>
    <t>each</t>
  </si>
  <si>
    <t>Total</t>
  </si>
  <si>
    <t>Cost of Water Treatment Equipment</t>
  </si>
  <si>
    <t>Name</t>
  </si>
  <si>
    <t>Address</t>
  </si>
  <si>
    <t>Phone #</t>
  </si>
  <si>
    <t>Email Address</t>
  </si>
  <si>
    <t>City State Zip</t>
  </si>
  <si>
    <t>Price of Containers Still Needed</t>
  </si>
  <si>
    <t>Adult Goal Quantity</t>
  </si>
  <si>
    <t>Gallons Expected from Containers Yet to Buy</t>
  </si>
  <si>
    <t xml:space="preserve">Adult Goal Quantity </t>
  </si>
  <si>
    <t>Actual Adult Goal Quantity  Set</t>
  </si>
  <si>
    <t>Grand Total to Complete 2 Week Supply +</t>
  </si>
  <si>
    <t>Cost to Add 1 More Month of Storage</t>
  </si>
  <si>
    <t>Unit Cost for Containers</t>
  </si>
  <si>
    <t>$</t>
  </si>
  <si>
    <t>Cost of Additional Containers for 2 Week Storage</t>
  </si>
  <si>
    <t>Source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</si>
</sst>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quot;Yes&quot;;&quot;Yes&quot;;&quot;No&quot;"/>
    <numFmt numFmtId="173" formatCode="&quot;True&quot;;&quot;True&quot;;&quot;False&quot;"/>
    <numFmt numFmtId="174" formatCode="&quot;On&quot;;&quot;On&quot;;&quot;Off&quot;"/>
    <numFmt numFmtId="175" formatCode="_(&quot;$&quot;* #,##0.0_);_(&quot;$&quot;* \(#,##0.0\);_(&quot;$&quot;* &quot;-&quot;??_);_(@_)"/>
    <numFmt numFmtId="176" formatCode="_(&quot;$&quot;* #,##0_);_(&quot;$&quot;* \(#,##0\);_(&quot;$&quot;* &quot;-&quot;??_);_(@_)"/>
  </numFmts>
  <fonts count="33">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2"/>
      <name val="Arial"/>
      <family val="2"/>
    </font>
    <font>
      <sz val="12"/>
      <name val="Arial"/>
      <family val="2"/>
    </font>
    <font>
      <sz val="8"/>
      <name val="Tahoma"/>
      <family val="0"/>
    </font>
    <font>
      <b/>
      <sz val="8"/>
      <name val="Tahoma"/>
      <family val="0"/>
    </font>
    <font>
      <sz val="8"/>
      <name val="Arial"/>
      <family val="2"/>
    </font>
    <font>
      <b/>
      <sz val="10"/>
      <name val="Geneva"/>
      <family val="0"/>
    </font>
    <font>
      <sz val="9"/>
      <name val="Geneva"/>
      <family val="0"/>
    </font>
    <font>
      <sz val="18"/>
      <name val="Arial"/>
      <family val="2"/>
    </font>
    <font>
      <b/>
      <sz val="8"/>
      <name val="Arial"/>
      <family val="2"/>
    </font>
    <font>
      <b/>
      <sz val="16"/>
      <name val="Arial"/>
      <family val="2"/>
    </font>
    <font>
      <b/>
      <sz val="14"/>
      <name val="Arial"/>
      <family val="2"/>
    </font>
    <font>
      <b/>
      <i/>
      <sz val="8"/>
      <name val="Tahoma"/>
      <family val="2"/>
    </font>
    <font>
      <i/>
      <sz val="8"/>
      <name val="Tahoma"/>
      <family val="2"/>
    </font>
    <font>
      <b/>
      <sz val="10"/>
      <color indexed="9"/>
      <name val="Arial"/>
      <family val="2"/>
    </font>
    <font>
      <b/>
      <sz val="12"/>
      <color indexed="9"/>
      <name val="Arial"/>
      <family val="2"/>
    </font>
    <font>
      <sz val="12"/>
      <color indexed="9"/>
      <name val="Arial"/>
      <family val="2"/>
    </font>
    <font>
      <sz val="10"/>
      <color indexed="9"/>
      <name val="Arial"/>
      <family val="2"/>
    </font>
    <font>
      <sz val="8"/>
      <color indexed="9"/>
      <name val="Arial"/>
      <family val="2"/>
    </font>
    <font>
      <b/>
      <sz val="8"/>
      <color indexed="9"/>
      <name val="Arial"/>
      <family val="2"/>
    </font>
    <font>
      <sz val="11.5"/>
      <name val="Arial"/>
      <family val="0"/>
    </font>
    <font>
      <sz val="10.5"/>
      <name val="Arial"/>
      <family val="0"/>
    </font>
    <font>
      <b/>
      <sz val="14"/>
      <color indexed="9"/>
      <name val="Arial"/>
      <family val="2"/>
    </font>
    <font>
      <b/>
      <sz val="9"/>
      <name val="Arial"/>
      <family val="2"/>
    </font>
    <font>
      <b/>
      <sz val="10"/>
      <color indexed="55"/>
      <name val="Arial"/>
      <family val="2"/>
    </font>
    <font>
      <sz val="9"/>
      <name val="Arial"/>
      <family val="2"/>
    </font>
    <font>
      <b/>
      <sz val="10"/>
      <color indexed="16"/>
      <name val="Arial"/>
      <family val="2"/>
    </font>
    <font>
      <sz val="7"/>
      <name val="Arial"/>
      <family val="2"/>
    </font>
    <font>
      <u val="single"/>
      <sz val="8"/>
      <name val="Tahoma"/>
      <family val="2"/>
    </font>
  </fonts>
  <fills count="29">
    <fill>
      <patternFill/>
    </fill>
    <fill>
      <patternFill patternType="gray125"/>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15"/>
        <bgColor indexed="64"/>
      </patternFill>
    </fill>
    <fill>
      <patternFill patternType="solid">
        <fgColor indexed="47"/>
        <bgColor indexed="64"/>
      </patternFill>
    </fill>
    <fill>
      <patternFill patternType="solid">
        <fgColor indexed="11"/>
        <bgColor indexed="64"/>
      </patternFill>
    </fill>
    <fill>
      <patternFill patternType="solid">
        <fgColor indexed="40"/>
        <bgColor indexed="64"/>
      </patternFill>
    </fill>
    <fill>
      <patternFill patternType="solid">
        <fgColor indexed="49"/>
        <bgColor indexed="64"/>
      </patternFill>
    </fill>
    <fill>
      <patternFill patternType="solid">
        <fgColor indexed="18"/>
        <bgColor indexed="64"/>
      </patternFill>
    </fill>
    <fill>
      <patternFill patternType="solid">
        <fgColor indexed="62"/>
        <bgColor indexed="64"/>
      </patternFill>
    </fill>
    <fill>
      <patternFill patternType="solid">
        <fgColor indexed="62"/>
        <bgColor indexed="64"/>
      </patternFill>
    </fill>
    <fill>
      <patternFill patternType="solid">
        <fgColor indexed="26"/>
        <bgColor indexed="64"/>
      </patternFill>
    </fill>
    <fill>
      <patternFill patternType="solid">
        <fgColor indexed="48"/>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mediumGray">
        <bgColor indexed="16"/>
      </patternFill>
    </fill>
    <fill>
      <patternFill patternType="solid">
        <fgColor indexed="51"/>
        <bgColor indexed="64"/>
      </patternFill>
    </fill>
    <fill>
      <patternFill patternType="solid">
        <fgColor indexed="35"/>
        <bgColor indexed="64"/>
      </patternFill>
    </fill>
    <fill>
      <patternFill patternType="solid">
        <fgColor indexed="9"/>
        <bgColor indexed="64"/>
      </patternFill>
    </fill>
    <fill>
      <patternFill patternType="solid">
        <fgColor indexed="61"/>
        <bgColor indexed="64"/>
      </patternFill>
    </fill>
    <fill>
      <patternFill patternType="gray0625">
        <bgColor indexed="11"/>
      </patternFill>
    </fill>
    <fill>
      <patternFill patternType="solid">
        <fgColor indexed="22"/>
        <bgColor indexed="64"/>
      </patternFill>
    </fill>
    <fill>
      <patternFill patternType="gray0625">
        <bgColor indexed="44"/>
      </patternFill>
    </fill>
    <fill>
      <patternFill patternType="solid">
        <fgColor indexed="13"/>
        <bgColor indexed="64"/>
      </patternFill>
    </fill>
    <fill>
      <patternFill patternType="solid">
        <fgColor indexed="18"/>
        <bgColor indexed="64"/>
      </patternFill>
    </fill>
    <fill>
      <patternFill patternType="solid">
        <fgColor indexed="43"/>
        <bgColor indexed="64"/>
      </patternFill>
    </fill>
  </fills>
  <borders count="174">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medium"/>
    </border>
    <border>
      <left style="thick"/>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ck"/>
    </border>
    <border>
      <left style="thin"/>
      <right style="medium"/>
      <top style="thin"/>
      <bottom style="thin"/>
    </border>
    <border>
      <left style="medium"/>
      <right style="thick"/>
      <top style="thin"/>
      <bottom style="thin"/>
    </border>
    <border>
      <left style="medium"/>
      <right style="thick"/>
      <top style="thin"/>
      <bottom>
        <color indexed="63"/>
      </bottom>
    </border>
    <border>
      <left style="medium"/>
      <right style="thick"/>
      <top style="thin"/>
      <bottom style="thick"/>
    </border>
    <border>
      <left style="thin"/>
      <right style="thick"/>
      <top style="thin"/>
      <bottom style="thin"/>
    </border>
    <border>
      <left style="thin"/>
      <right style="thin"/>
      <top style="medium"/>
      <bottom style="thin"/>
    </border>
    <border>
      <left style="thin"/>
      <right>
        <color indexed="63"/>
      </right>
      <top style="medium"/>
      <bottom style="thin"/>
    </border>
    <border>
      <left style="thin"/>
      <right style="thin"/>
      <top style="double"/>
      <bottom style="thin"/>
    </border>
    <border>
      <left style="thin"/>
      <right style="thin"/>
      <top style="double"/>
      <bottom style="thick"/>
    </border>
    <border>
      <left style="medium"/>
      <right style="thick"/>
      <top style="medium"/>
      <bottom style="thin"/>
    </border>
    <border>
      <left style="thin"/>
      <right style="thick"/>
      <top style="double"/>
      <bottom style="thick"/>
    </border>
    <border>
      <left style="thin"/>
      <right style="medium"/>
      <top style="double"/>
      <bottom style="thin"/>
    </border>
    <border>
      <left style="thin"/>
      <right style="medium"/>
      <top style="double"/>
      <bottom style="thick"/>
    </border>
    <border>
      <left style="thin"/>
      <right style="thin"/>
      <top style="thin"/>
      <bottom style="double"/>
    </border>
    <border>
      <left style="thin"/>
      <right style="medium"/>
      <top style="thin"/>
      <bottom style="double"/>
    </border>
    <border>
      <left>
        <color indexed="63"/>
      </left>
      <right>
        <color indexed="63"/>
      </right>
      <top>
        <color indexed="63"/>
      </top>
      <bottom style="thin"/>
    </border>
    <border>
      <left style="thin"/>
      <right style="medium"/>
      <top>
        <color indexed="63"/>
      </top>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n"/>
      <top style="double"/>
      <bottom style="thin"/>
    </border>
    <border>
      <left style="thin"/>
      <right style="thin"/>
      <top style="double"/>
      <bottom>
        <color indexed="63"/>
      </bottom>
    </border>
    <border>
      <left style="thin"/>
      <right style="medium"/>
      <top style="double"/>
      <bottom>
        <color indexed="63"/>
      </bottom>
    </border>
    <border>
      <left>
        <color indexed="63"/>
      </left>
      <right style="thick"/>
      <top style="thick"/>
      <bottom style="medium"/>
    </border>
    <border>
      <left style="thick"/>
      <right style="thin"/>
      <top style="thin"/>
      <bottom style="thin"/>
    </border>
    <border>
      <left style="thick"/>
      <right>
        <color indexed="63"/>
      </right>
      <top style="thin"/>
      <bottom>
        <color indexed="63"/>
      </bottom>
    </border>
    <border>
      <left>
        <color indexed="63"/>
      </left>
      <right>
        <color indexed="63"/>
      </right>
      <top style="thick"/>
      <bottom style="medium"/>
    </border>
    <border>
      <left>
        <color indexed="63"/>
      </left>
      <right>
        <color indexed="63"/>
      </right>
      <top style="thin"/>
      <bottom style="thin"/>
    </border>
    <border>
      <left>
        <color indexed="63"/>
      </left>
      <right style="thick"/>
      <top style="thin"/>
      <bottom style="thin"/>
    </border>
    <border>
      <left style="thin"/>
      <right style="medium"/>
      <top style="medium"/>
      <bottom style="thin"/>
    </border>
    <border>
      <left style="thick"/>
      <right>
        <color indexed="63"/>
      </right>
      <top style="double"/>
      <bottom style="thick"/>
    </border>
    <border>
      <left style="thick"/>
      <right>
        <color indexed="63"/>
      </right>
      <top style="medium"/>
      <bottom style="double"/>
    </border>
    <border>
      <left style="thin"/>
      <right style="thick"/>
      <top style="medium"/>
      <bottom style="thin"/>
    </border>
    <border>
      <left style="thin"/>
      <right>
        <color indexed="63"/>
      </right>
      <top style="thin"/>
      <bottom style="thin"/>
    </border>
    <border>
      <left style="thin"/>
      <right>
        <color indexed="63"/>
      </right>
      <top style="thin"/>
      <bottom style="double"/>
    </border>
    <border>
      <left style="medium"/>
      <right style="thin"/>
      <top style="thin"/>
      <bottom style="thin"/>
    </border>
    <border>
      <left style="medium"/>
      <right style="thin"/>
      <top style="thin"/>
      <bottom>
        <color indexed="63"/>
      </bottom>
    </border>
    <border>
      <left style="thin"/>
      <right>
        <color indexed="63"/>
      </right>
      <top>
        <color indexed="63"/>
      </top>
      <bottom style="thin"/>
    </border>
    <border>
      <left style="medium"/>
      <right style="thin"/>
      <top style="thin"/>
      <bottom style="medium"/>
    </border>
    <border>
      <left style="thin"/>
      <right>
        <color indexed="63"/>
      </right>
      <top style="double"/>
      <bottom style="thin"/>
    </border>
    <border>
      <left style="thick"/>
      <right style="thin"/>
      <top style="thin"/>
      <bottom style="thick"/>
    </border>
    <border>
      <left style="thick"/>
      <right style="thin"/>
      <top style="thin"/>
      <bottom>
        <color indexed="63"/>
      </bottom>
    </border>
    <border>
      <left style="thick"/>
      <right style="thin"/>
      <top>
        <color indexed="63"/>
      </top>
      <bottom>
        <color indexed="63"/>
      </bottom>
    </border>
    <border>
      <left style="thick"/>
      <right style="thin"/>
      <top style="double"/>
      <bottom style="thin"/>
    </border>
    <border>
      <left style="thick"/>
      <right>
        <color indexed="63"/>
      </right>
      <top style="double"/>
      <bottom style="thin"/>
    </border>
    <border>
      <left style="thin"/>
      <right style="thin"/>
      <top style="medium"/>
      <bottom>
        <color indexed="63"/>
      </bottom>
    </border>
    <border>
      <left style="thin"/>
      <right style="thick"/>
      <top style="medium"/>
      <bottom>
        <color indexed="63"/>
      </bottom>
    </border>
    <border>
      <left style="thin"/>
      <right style="medium"/>
      <top style="thin"/>
      <bottom style="medium"/>
    </border>
    <border>
      <left style="thin"/>
      <right style="thick"/>
      <top style="thin"/>
      <bottom style="medium"/>
    </border>
    <border>
      <left style="thin"/>
      <right style="medium"/>
      <top style="thin"/>
      <bottom>
        <color indexed="63"/>
      </bottom>
    </border>
    <border>
      <left style="thin"/>
      <right style="thick"/>
      <top style="thin"/>
      <bottom>
        <color indexed="63"/>
      </bottom>
    </border>
    <border>
      <left>
        <color indexed="63"/>
      </left>
      <right>
        <color indexed="63"/>
      </right>
      <top>
        <color indexed="63"/>
      </top>
      <bottom style="medium"/>
    </border>
    <border>
      <left style="medium"/>
      <right>
        <color indexed="63"/>
      </right>
      <top style="thick"/>
      <bottom>
        <color indexed="63"/>
      </bottom>
    </border>
    <border>
      <left style="thin"/>
      <right>
        <color indexed="63"/>
      </right>
      <top style="double"/>
      <bottom style="thick"/>
    </border>
    <border>
      <left>
        <color indexed="63"/>
      </left>
      <right>
        <color indexed="63"/>
      </right>
      <top style="double"/>
      <bottom style="thick"/>
    </border>
    <border>
      <left style="thin"/>
      <right>
        <color indexed="63"/>
      </right>
      <top>
        <color indexed="63"/>
      </top>
      <bottom style="double"/>
    </border>
    <border>
      <left>
        <color indexed="63"/>
      </left>
      <right>
        <color indexed="63"/>
      </right>
      <top>
        <color indexed="63"/>
      </top>
      <bottom style="double"/>
    </border>
    <border>
      <left style="thick"/>
      <right>
        <color indexed="63"/>
      </right>
      <top>
        <color indexed="63"/>
      </top>
      <bottom style="thin"/>
    </border>
    <border>
      <left style="thick"/>
      <right style="thin"/>
      <top style="thin"/>
      <bottom style="double"/>
    </border>
    <border>
      <left style="medium"/>
      <right style="thin"/>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thick"/>
      <top>
        <color indexed="63"/>
      </top>
      <bottom style="medium"/>
    </border>
    <border>
      <left style="medium"/>
      <right style="thick"/>
      <top style="double"/>
      <bottom style="thick"/>
    </border>
    <border>
      <left style="medium"/>
      <right style="thick"/>
      <top style="double"/>
      <bottom>
        <color indexed="63"/>
      </bottom>
    </border>
    <border>
      <left style="medium"/>
      <right style="thick"/>
      <top style="double"/>
      <bottom style="thin"/>
    </border>
    <border>
      <left style="medium"/>
      <right style="thick"/>
      <top style="thin"/>
      <bottom style="double"/>
    </border>
    <border>
      <left style="thin"/>
      <right>
        <color indexed="63"/>
      </right>
      <top style="double"/>
      <bottom>
        <color indexed="63"/>
      </bottom>
    </border>
    <border>
      <left style="medium"/>
      <right style="thick"/>
      <top>
        <color indexed="63"/>
      </top>
      <bottom style="thin"/>
    </border>
    <border>
      <left>
        <color indexed="63"/>
      </left>
      <right style="thick"/>
      <top>
        <color indexed="63"/>
      </top>
      <bottom style="thin"/>
    </border>
    <border>
      <left style="thick"/>
      <right>
        <color indexed="63"/>
      </right>
      <top style="medium"/>
      <bottom style="thin"/>
    </border>
    <border>
      <left style="thin"/>
      <right style="medium"/>
      <top style="medium"/>
      <bottom>
        <color indexed="63"/>
      </bottom>
    </border>
    <border>
      <left style="medium"/>
      <right style="thin"/>
      <top style="thin"/>
      <bottom style="double"/>
    </border>
    <border>
      <left style="thin"/>
      <right style="thick"/>
      <top style="thin"/>
      <bottom style="double"/>
    </border>
    <border>
      <left style="medium"/>
      <right>
        <color indexed="63"/>
      </right>
      <top style="thin"/>
      <bottom style="thin"/>
    </border>
    <border>
      <left style="thick"/>
      <right style="thick"/>
      <top style="medium"/>
      <bottom style="thin"/>
    </border>
    <border>
      <left style="thick"/>
      <right style="thick"/>
      <top>
        <color indexed="63"/>
      </top>
      <bottom>
        <color indexed="63"/>
      </bottom>
    </border>
    <border>
      <left style="thick"/>
      <right>
        <color indexed="63"/>
      </right>
      <top style="thick"/>
      <bottom>
        <color indexed="63"/>
      </bottom>
    </border>
    <border>
      <left style="thick"/>
      <right style="thick"/>
      <top style="thin"/>
      <bottom style="thin"/>
    </border>
    <border>
      <left style="thick"/>
      <right style="thick"/>
      <top style="thin"/>
      <bottom style="double"/>
    </border>
    <border>
      <left style="thick"/>
      <right style="thick"/>
      <top style="thin"/>
      <bottom>
        <color indexed="63"/>
      </bottom>
    </border>
    <border>
      <left style="thick"/>
      <right style="thick"/>
      <top style="thin"/>
      <bottom style="thick"/>
    </border>
    <border>
      <left style="thin"/>
      <right>
        <color indexed="63"/>
      </right>
      <top>
        <color indexed="63"/>
      </top>
      <bottom style="thick"/>
    </border>
    <border>
      <left style="thick"/>
      <right>
        <color indexed="63"/>
      </right>
      <top style="thin"/>
      <bottom style="thin"/>
    </border>
    <border>
      <left style="thick"/>
      <right>
        <color indexed="63"/>
      </right>
      <top style="thick"/>
      <bottom style="medium"/>
    </border>
    <border>
      <left style="thick"/>
      <right>
        <color indexed="63"/>
      </right>
      <top>
        <color indexed="63"/>
      </top>
      <bottom style="medium"/>
    </border>
    <border>
      <left>
        <color indexed="63"/>
      </left>
      <right>
        <color indexed="63"/>
      </right>
      <top>
        <color indexed="63"/>
      </top>
      <bottom style="thick"/>
    </border>
    <border>
      <left>
        <color indexed="63"/>
      </left>
      <right style="thick"/>
      <top>
        <color indexed="63"/>
      </top>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medium"/>
      <top style="thick"/>
      <bottom style="thin"/>
    </border>
    <border>
      <left style="thick"/>
      <right style="thin"/>
      <top style="thin"/>
      <bottom style="medium"/>
    </border>
    <border>
      <left style="thick"/>
      <right style="medium"/>
      <top style="thin"/>
      <bottom style="thin"/>
    </border>
    <border>
      <left style="thick"/>
      <right style="medium"/>
      <top style="thin"/>
      <bottom style="thick"/>
    </border>
    <border>
      <left style="thick"/>
      <right style="thin"/>
      <top style="medium"/>
      <bottom style="thin"/>
    </border>
    <border>
      <left style="thin"/>
      <right style="thick"/>
      <top style="thin"/>
      <bottom style="thick"/>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medium"/>
    </border>
    <border>
      <left>
        <color indexed="63"/>
      </left>
      <right style="thin"/>
      <top style="thin"/>
      <bottom style="medium"/>
    </border>
    <border>
      <left style="thick"/>
      <right style="medium"/>
      <top>
        <color indexed="63"/>
      </top>
      <bottom style="thin"/>
    </border>
    <border>
      <left style="thick"/>
      <right style="medium"/>
      <top style="thin"/>
      <bottom style="medium"/>
    </border>
    <border>
      <left style="medium"/>
      <right style="medium"/>
      <top style="thick"/>
      <bottom style="thin"/>
    </border>
    <border>
      <left style="medium"/>
      <right style="thick"/>
      <top style="thick"/>
      <bottom style="thin"/>
    </border>
    <border>
      <left style="medium"/>
      <right style="medium"/>
      <top style="thin"/>
      <bottom style="thin"/>
    </border>
    <border>
      <left style="medium"/>
      <right style="medium"/>
      <top style="thin"/>
      <bottom style="thick"/>
    </border>
    <border>
      <left>
        <color indexed="63"/>
      </left>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medium"/>
      <right style="thick"/>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ck"/>
      <top>
        <color indexed="63"/>
      </top>
      <bottom style="medium"/>
    </border>
    <border>
      <left>
        <color indexed="63"/>
      </left>
      <right style="thin"/>
      <top style="medium"/>
      <bottom style="thin"/>
    </border>
    <border>
      <left>
        <color indexed="63"/>
      </left>
      <right style="medium"/>
      <top>
        <color indexed="63"/>
      </top>
      <bottom style="thin"/>
    </border>
    <border>
      <left>
        <color indexed="63"/>
      </left>
      <right style="thin"/>
      <top style="thin"/>
      <bottom>
        <color indexed="63"/>
      </bottom>
    </border>
    <border>
      <left style="thick"/>
      <right style="thin"/>
      <top style="medium"/>
      <bottom>
        <color indexed="63"/>
      </bottom>
    </border>
    <border>
      <left style="thick"/>
      <right>
        <color indexed="63"/>
      </right>
      <top style="medium"/>
      <bottom>
        <color indexed="63"/>
      </bottom>
    </border>
    <border>
      <left>
        <color indexed="63"/>
      </left>
      <right style="medium"/>
      <top style="medium"/>
      <bottom>
        <color indexed="63"/>
      </bottom>
    </border>
    <border>
      <left style="thick"/>
      <right style="thin"/>
      <top>
        <color indexed="63"/>
      </top>
      <bottom style="medium"/>
    </border>
    <border>
      <left style="thick"/>
      <right style="medium"/>
      <top style="thick"/>
      <bottom style="thick"/>
    </border>
    <border>
      <left>
        <color indexed="63"/>
      </left>
      <right style="thin"/>
      <top style="medium"/>
      <bottom style="thick"/>
    </border>
    <border>
      <left style="thin"/>
      <right style="thin"/>
      <top style="medium"/>
      <bottom style="thick"/>
    </border>
    <border>
      <left style="thin"/>
      <right>
        <color indexed="63"/>
      </right>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color indexed="63"/>
      </bottom>
    </border>
    <border>
      <left>
        <color indexed="63"/>
      </left>
      <right>
        <color indexed="63"/>
      </right>
      <top style="thin"/>
      <bottom style="double"/>
    </border>
    <border>
      <left>
        <color indexed="63"/>
      </left>
      <right style="thin"/>
      <top style="thin"/>
      <bottom style="double"/>
    </border>
    <border>
      <left>
        <color indexed="63"/>
      </left>
      <right style="thick"/>
      <top style="double"/>
      <bottom style="thick"/>
    </border>
    <border>
      <left>
        <color indexed="63"/>
      </left>
      <right style="thick"/>
      <top style="thick"/>
      <bottom>
        <color indexed="63"/>
      </bottom>
    </border>
    <border>
      <left>
        <color indexed="63"/>
      </left>
      <right style="medium"/>
      <top style="thin"/>
      <bottom style="thin"/>
    </border>
    <border>
      <left style="thick"/>
      <right style="thick"/>
      <top>
        <color indexed="63"/>
      </top>
      <bottom style="thin"/>
    </border>
    <border>
      <left>
        <color indexed="63"/>
      </left>
      <right>
        <color indexed="63"/>
      </right>
      <top style="double"/>
      <bottom style="thin"/>
    </border>
    <border>
      <left>
        <color indexed="63"/>
      </left>
      <right style="thick"/>
      <top style="double"/>
      <bottom style="thin"/>
    </border>
    <border>
      <left style="thick"/>
      <right style="thick"/>
      <top style="double"/>
      <bottom>
        <color indexed="63"/>
      </bottom>
    </border>
    <border>
      <left>
        <color indexed="63"/>
      </left>
      <right>
        <color indexed="63"/>
      </right>
      <top style="thin"/>
      <bottom style="thick"/>
    </border>
    <border>
      <left>
        <color indexed="63"/>
      </left>
      <right style="thick"/>
      <top style="thin"/>
      <bottom style="thick"/>
    </border>
    <border>
      <left>
        <color indexed="63"/>
      </left>
      <right style="thin"/>
      <top style="medium"/>
      <bottom style="double"/>
    </border>
    <border>
      <left style="thick"/>
      <right>
        <color indexed="63"/>
      </right>
      <top>
        <color indexed="63"/>
      </top>
      <bottom style="double"/>
    </border>
    <border>
      <left style="thin"/>
      <right style="thin"/>
      <top>
        <color indexed="63"/>
      </top>
      <bottom style="double"/>
    </border>
    <border>
      <left style="thin"/>
      <right style="medium"/>
      <top>
        <color indexed="63"/>
      </top>
      <bottom style="double"/>
    </border>
    <border>
      <left style="medium"/>
      <right style="thick"/>
      <top>
        <color indexed="63"/>
      </top>
      <bottom>
        <color indexed="63"/>
      </bottom>
    </border>
    <border>
      <left>
        <color indexed="63"/>
      </left>
      <right style="thin"/>
      <top style="double"/>
      <bottom style="thick"/>
    </border>
    <border>
      <left style="thick"/>
      <right style="thin"/>
      <top style="thick"/>
      <bottom style="medium"/>
    </border>
    <border>
      <left style="thin"/>
      <right style="thin"/>
      <top style="thick"/>
      <bottom style="medium"/>
    </border>
    <border>
      <left style="thin"/>
      <right>
        <color indexed="63"/>
      </right>
      <top style="thick"/>
      <bottom style="medium"/>
    </border>
    <border>
      <left style="medium"/>
      <right>
        <color indexed="63"/>
      </right>
      <top style="thick"/>
      <bottom style="medium"/>
    </border>
    <border>
      <left style="thin"/>
      <right style="thin"/>
      <top style="medium"/>
      <bottom style="double"/>
    </border>
    <border>
      <left style="thin"/>
      <right style="medium"/>
      <top style="medium"/>
      <bottom style="double"/>
    </border>
    <border>
      <left style="thin"/>
      <right>
        <color indexed="63"/>
      </right>
      <top style="medium"/>
      <bottom style="double"/>
    </border>
    <border>
      <left style="medium"/>
      <right style="thick"/>
      <top style="medium"/>
      <bottom style="double"/>
    </border>
    <border>
      <left style="thin"/>
      <right style="thick"/>
      <top>
        <color indexed="63"/>
      </top>
      <bottom style="thin"/>
    </border>
    <border>
      <left style="thick"/>
      <right>
        <color indexed="63"/>
      </right>
      <top style="double"/>
      <bottom style="medium"/>
    </border>
    <border>
      <left>
        <color indexed="63"/>
      </left>
      <right style="thin"/>
      <top style="double"/>
      <bottom style="medium"/>
    </border>
    <border>
      <left style="thick"/>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705">
    <xf numFmtId="0" fontId="0" fillId="0" borderId="0" xfId="0" applyAlignment="1">
      <alignment/>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8" xfId="0" applyFill="1" applyBorder="1" applyAlignment="1" applyProtection="1">
      <alignment horizontal="left" wrapText="1"/>
      <protection locked="0"/>
    </xf>
    <xf numFmtId="1" fontId="0" fillId="2" borderId="1" xfId="0" applyNumberFormat="1" applyFill="1" applyBorder="1" applyAlignment="1" applyProtection="1">
      <alignment horizontal="center"/>
      <protection locked="0"/>
    </xf>
    <xf numFmtId="0" fontId="0" fillId="0" borderId="1" xfId="0" applyBorder="1" applyAlignment="1" applyProtection="1">
      <alignment horizontal="center"/>
      <protection/>
    </xf>
    <xf numFmtId="1" fontId="1" fillId="3" borderId="9" xfId="0" applyNumberFormat="1" applyFont="1" applyFill="1" applyBorder="1" applyAlignment="1" applyProtection="1">
      <alignment horizontal="center"/>
      <protection/>
    </xf>
    <xf numFmtId="1" fontId="0" fillId="3" borderId="10" xfId="0" applyNumberFormat="1" applyFill="1" applyBorder="1" applyAlignment="1" applyProtection="1">
      <alignment horizontal="center"/>
      <protection/>
    </xf>
    <xf numFmtId="1" fontId="0" fillId="3" borderId="11" xfId="0" applyNumberFormat="1" applyFill="1" applyBorder="1" applyAlignment="1" applyProtection="1">
      <alignment horizontal="center"/>
      <protection/>
    </xf>
    <xf numFmtId="1" fontId="1" fillId="3" borderId="12" xfId="0" applyNumberFormat="1" applyFont="1" applyFill="1" applyBorder="1" applyAlignment="1" applyProtection="1">
      <alignment horizontal="center"/>
      <protection/>
    </xf>
    <xf numFmtId="1" fontId="0" fillId="3" borderId="0" xfId="0" applyNumberFormat="1" applyFill="1" applyBorder="1" applyAlignment="1" applyProtection="1">
      <alignment horizontal="center"/>
      <protection/>
    </xf>
    <xf numFmtId="1" fontId="0" fillId="3" borderId="13" xfId="0" applyNumberFormat="1" applyFill="1" applyBorder="1" applyAlignment="1" applyProtection="1">
      <alignment horizontal="center"/>
      <protection/>
    </xf>
    <xf numFmtId="0" fontId="0" fillId="0" borderId="14" xfId="0" applyBorder="1" applyAlignment="1" applyProtection="1">
      <alignment horizontal="center"/>
      <protection/>
    </xf>
    <xf numFmtId="1" fontId="0" fillId="4" borderId="1" xfId="0" applyNumberFormat="1" applyFill="1" applyBorder="1" applyAlignment="1" applyProtection="1">
      <alignment horizontal="center"/>
      <protection/>
    </xf>
    <xf numFmtId="1" fontId="0" fillId="4" borderId="15" xfId="0" applyNumberFormat="1" applyFill="1" applyBorder="1" applyAlignment="1" applyProtection="1">
      <alignment horizontal="center"/>
      <protection/>
    </xf>
    <xf numFmtId="166" fontId="0" fillId="0" borderId="16" xfId="0" applyNumberFormat="1" applyBorder="1" applyAlignment="1" applyProtection="1">
      <alignment horizontal="center"/>
      <protection/>
    </xf>
    <xf numFmtId="0" fontId="0" fillId="0" borderId="2" xfId="0" applyBorder="1" applyAlignment="1" applyProtection="1">
      <alignment horizontal="center"/>
      <protection/>
    </xf>
    <xf numFmtId="0" fontId="0" fillId="0" borderId="3" xfId="0" applyBorder="1" applyAlignment="1" applyProtection="1">
      <alignment horizontal="center"/>
      <protection/>
    </xf>
    <xf numFmtId="166" fontId="0" fillId="0" borderId="17" xfId="0" applyNumberFormat="1" applyBorder="1" applyAlignment="1" applyProtection="1">
      <alignment horizontal="center"/>
      <protection/>
    </xf>
    <xf numFmtId="166" fontId="0" fillId="0" borderId="18" xfId="0" applyNumberFormat="1" applyBorder="1" applyAlignment="1" applyProtection="1">
      <alignment horizontal="center"/>
      <protection/>
    </xf>
    <xf numFmtId="0" fontId="0" fillId="0" borderId="6" xfId="0" applyBorder="1" applyAlignment="1" applyProtection="1">
      <alignment horizontal="center"/>
      <protection/>
    </xf>
    <xf numFmtId="166" fontId="0" fillId="3" borderId="16" xfId="0" applyNumberFormat="1" applyFill="1" applyBorder="1" applyAlignment="1" applyProtection="1">
      <alignment horizontal="center"/>
      <protection/>
    </xf>
    <xf numFmtId="1" fontId="1" fillId="3" borderId="0" xfId="0" applyNumberFormat="1" applyFont="1" applyFill="1" applyBorder="1" applyAlignment="1" applyProtection="1">
      <alignment horizontal="center"/>
      <protection/>
    </xf>
    <xf numFmtId="166" fontId="0" fillId="2" borderId="1" xfId="0" applyNumberFormat="1" applyFill="1" applyBorder="1" applyAlignment="1" applyProtection="1">
      <alignment horizontal="center"/>
      <protection locked="0"/>
    </xf>
    <xf numFmtId="1" fontId="0" fillId="5" borderId="1" xfId="0" applyNumberFormat="1" applyFill="1" applyBorder="1" applyAlignment="1" applyProtection="1">
      <alignment horizontal="center"/>
      <protection locked="0"/>
    </xf>
    <xf numFmtId="166" fontId="0" fillId="5" borderId="1" xfId="0" applyNumberFormat="1" applyFill="1" applyBorder="1" applyAlignment="1" applyProtection="1">
      <alignment horizontal="center"/>
      <protection locked="0"/>
    </xf>
    <xf numFmtId="0" fontId="0" fillId="2" borderId="19" xfId="0" applyFill="1" applyBorder="1" applyAlignment="1" applyProtection="1">
      <alignment/>
      <protection locked="0"/>
    </xf>
    <xf numFmtId="0" fontId="13" fillId="0" borderId="6" xfId="0" applyFont="1" applyBorder="1" applyAlignment="1" applyProtection="1">
      <alignment horizontal="center" wrapText="1"/>
      <protection/>
    </xf>
    <xf numFmtId="1" fontId="13" fillId="0" borderId="6" xfId="0" applyNumberFormat="1" applyFont="1" applyBorder="1" applyAlignment="1" applyProtection="1">
      <alignment horizontal="center" wrapText="1"/>
      <protection/>
    </xf>
    <xf numFmtId="1" fontId="13" fillId="0" borderId="20" xfId="0" applyNumberFormat="1" applyFont="1" applyBorder="1" applyAlignment="1" applyProtection="1">
      <alignment horizontal="center" wrapText="1"/>
      <protection/>
    </xf>
    <xf numFmtId="1" fontId="13" fillId="0" borderId="21" xfId="0" applyNumberFormat="1" applyFont="1" applyBorder="1" applyAlignment="1" applyProtection="1">
      <alignment horizontal="center" wrapText="1"/>
      <protection/>
    </xf>
    <xf numFmtId="1" fontId="0" fillId="6" borderId="6" xfId="0" applyNumberFormat="1" applyFill="1" applyBorder="1" applyAlignment="1" applyProtection="1">
      <alignment horizontal="center"/>
      <protection/>
    </xf>
    <xf numFmtId="1" fontId="0" fillId="6" borderId="1" xfId="0" applyNumberFormat="1" applyFill="1" applyBorder="1" applyAlignment="1" applyProtection="1">
      <alignment horizontal="center"/>
      <protection/>
    </xf>
    <xf numFmtId="0" fontId="0" fillId="2" borderId="1" xfId="0" applyFill="1" applyBorder="1" applyAlignment="1" applyProtection="1">
      <alignment/>
      <protection locked="0"/>
    </xf>
    <xf numFmtId="1" fontId="0" fillId="4" borderId="1" xfId="0" applyNumberFormat="1" applyFont="1" applyFill="1" applyBorder="1" applyAlignment="1" applyProtection="1">
      <alignment horizontal="center"/>
      <protection/>
    </xf>
    <xf numFmtId="1" fontId="1" fillId="7" borderId="22" xfId="0" applyNumberFormat="1" applyFont="1" applyFill="1" applyBorder="1" applyAlignment="1" applyProtection="1">
      <alignment horizontal="center"/>
      <protection/>
    </xf>
    <xf numFmtId="1" fontId="1" fillId="7" borderId="1" xfId="0" applyNumberFormat="1" applyFont="1" applyFill="1" applyBorder="1" applyAlignment="1" applyProtection="1">
      <alignment horizontal="center"/>
      <protection/>
    </xf>
    <xf numFmtId="1" fontId="1" fillId="7" borderId="23" xfId="0" applyNumberFormat="1" applyFont="1" applyFill="1" applyBorder="1" applyAlignment="1" applyProtection="1">
      <alignment horizontal="center"/>
      <protection/>
    </xf>
    <xf numFmtId="1" fontId="0" fillId="4" borderId="6" xfId="0" applyNumberFormat="1" applyFill="1" applyBorder="1" applyAlignment="1" applyProtection="1">
      <alignment horizontal="center"/>
      <protection/>
    </xf>
    <xf numFmtId="0" fontId="0" fillId="2" borderId="14" xfId="0" applyFill="1" applyBorder="1" applyAlignment="1" applyProtection="1">
      <alignment horizontal="center"/>
      <protection locked="0"/>
    </xf>
    <xf numFmtId="166" fontId="1" fillId="0" borderId="24" xfId="0" applyNumberFormat="1" applyFont="1" applyFill="1" applyBorder="1" applyAlignment="1" applyProtection="1">
      <alignment horizontal="center" wrapText="1"/>
      <protection/>
    </xf>
    <xf numFmtId="1" fontId="0" fillId="4" borderId="6" xfId="0" applyNumberFormat="1" applyFont="1" applyFill="1" applyBorder="1" applyAlignment="1" applyProtection="1">
      <alignment horizontal="center"/>
      <protection/>
    </xf>
    <xf numFmtId="166" fontId="0" fillId="7" borderId="23" xfId="0" applyNumberFormat="1" applyFill="1" applyBorder="1" applyAlignment="1" applyProtection="1">
      <alignment horizontal="center"/>
      <protection/>
    </xf>
    <xf numFmtId="1" fontId="0" fillId="7" borderId="25" xfId="0" applyNumberFormat="1" applyFill="1" applyBorder="1" applyAlignment="1" applyProtection="1">
      <alignment horizontal="center"/>
      <protection/>
    </xf>
    <xf numFmtId="1" fontId="0" fillId="7" borderId="1" xfId="0" applyNumberFormat="1" applyFill="1" applyBorder="1" applyAlignment="1" applyProtection="1">
      <alignment horizontal="center"/>
      <protection/>
    </xf>
    <xf numFmtId="1" fontId="0" fillId="7" borderId="15" xfId="0" applyNumberFormat="1" applyFill="1" applyBorder="1" applyAlignment="1" applyProtection="1">
      <alignment horizontal="center"/>
      <protection/>
    </xf>
    <xf numFmtId="1" fontId="0" fillId="7" borderId="22" xfId="0" applyNumberFormat="1" applyFill="1" applyBorder="1" applyAlignment="1" applyProtection="1">
      <alignment horizontal="center"/>
      <protection/>
    </xf>
    <xf numFmtId="1" fontId="0" fillId="7" borderId="26" xfId="0" applyNumberFormat="1" applyFill="1" applyBorder="1" applyAlignment="1" applyProtection="1">
      <alignment horizontal="center"/>
      <protection/>
    </xf>
    <xf numFmtId="1" fontId="0" fillId="7" borderId="23" xfId="0" applyNumberFormat="1" applyFill="1" applyBorder="1" applyAlignment="1" applyProtection="1">
      <alignment horizontal="center"/>
      <protection/>
    </xf>
    <xf numFmtId="1" fontId="0" fillId="7" borderId="27" xfId="0" applyNumberFormat="1" applyFill="1" applyBorder="1" applyAlignment="1" applyProtection="1">
      <alignment horizontal="center"/>
      <protection/>
    </xf>
    <xf numFmtId="1" fontId="0" fillId="4" borderId="28" xfId="0" applyNumberFormat="1" applyFill="1" applyBorder="1" applyAlignment="1" applyProtection="1">
      <alignment horizontal="center"/>
      <protection/>
    </xf>
    <xf numFmtId="1" fontId="0" fillId="4" borderId="29" xfId="0" applyNumberFormat="1" applyFill="1" applyBorder="1" applyAlignment="1" applyProtection="1">
      <alignment horizontal="center"/>
      <protection/>
    </xf>
    <xf numFmtId="1" fontId="1" fillId="8" borderId="1" xfId="0" applyNumberFormat="1" applyFont="1" applyFill="1" applyBorder="1" applyAlignment="1" applyProtection="1">
      <alignment horizontal="center"/>
      <protection/>
    </xf>
    <xf numFmtId="1" fontId="1" fillId="9" borderId="22" xfId="0" applyNumberFormat="1" applyFont="1" applyFill="1" applyBorder="1" applyAlignment="1" applyProtection="1">
      <alignment horizontal="center"/>
      <protection/>
    </xf>
    <xf numFmtId="1" fontId="0" fillId="8" borderId="1" xfId="0" applyNumberFormat="1" applyFont="1" applyFill="1" applyBorder="1" applyAlignment="1" applyProtection="1">
      <alignment horizontal="center"/>
      <protection/>
    </xf>
    <xf numFmtId="1" fontId="0" fillId="8" borderId="1" xfId="0" applyNumberFormat="1" applyFill="1" applyBorder="1" applyAlignment="1" applyProtection="1">
      <alignment horizontal="center"/>
      <protection/>
    </xf>
    <xf numFmtId="1" fontId="0" fillId="8" borderId="2" xfId="0" applyNumberFormat="1" applyFill="1" applyBorder="1" applyAlignment="1" applyProtection="1">
      <alignment horizontal="center"/>
      <protection/>
    </xf>
    <xf numFmtId="1" fontId="0" fillId="8" borderId="3" xfId="0" applyNumberFormat="1" applyFill="1" applyBorder="1" applyAlignment="1" applyProtection="1">
      <alignment horizontal="center"/>
      <protection/>
    </xf>
    <xf numFmtId="1" fontId="0" fillId="8" borderId="4" xfId="0" applyNumberFormat="1" applyFill="1" applyBorder="1" applyAlignment="1" applyProtection="1">
      <alignment horizontal="center"/>
      <protection/>
    </xf>
    <xf numFmtId="1" fontId="0" fillId="8" borderId="5" xfId="0" applyNumberFormat="1" applyFill="1" applyBorder="1" applyAlignment="1" applyProtection="1">
      <alignment horizontal="center"/>
      <protection/>
    </xf>
    <xf numFmtId="1" fontId="0" fillId="8" borderId="6" xfId="0" applyNumberFormat="1" applyFill="1" applyBorder="1" applyAlignment="1" applyProtection="1">
      <alignment horizontal="center"/>
      <protection/>
    </xf>
    <xf numFmtId="1" fontId="1" fillId="9" borderId="23" xfId="0" applyNumberFormat="1" applyFont="1" applyFill="1" applyBorder="1" applyAlignment="1" applyProtection="1">
      <alignment horizontal="center"/>
      <protection/>
    </xf>
    <xf numFmtId="1" fontId="1" fillId="9" borderId="1" xfId="0" applyNumberFormat="1" applyFont="1" applyFill="1" applyBorder="1" applyAlignment="1" applyProtection="1">
      <alignment horizontal="center"/>
      <protection/>
    </xf>
    <xf numFmtId="1" fontId="0" fillId="8" borderId="14" xfId="0" applyNumberFormat="1" applyFill="1" applyBorder="1" applyAlignment="1" applyProtection="1">
      <alignment horizontal="center"/>
      <protection/>
    </xf>
    <xf numFmtId="1" fontId="0" fillId="3" borderId="30" xfId="0" applyNumberFormat="1" applyFill="1" applyBorder="1" applyAlignment="1" applyProtection="1">
      <alignment horizontal="center"/>
      <protection/>
    </xf>
    <xf numFmtId="1" fontId="0" fillId="8" borderId="6" xfId="0" applyNumberFormat="1" applyFont="1" applyFill="1" applyBorder="1" applyAlignment="1" applyProtection="1">
      <alignment horizontal="center"/>
      <protection/>
    </xf>
    <xf numFmtId="1" fontId="0" fillId="4" borderId="31" xfId="0" applyNumberFormat="1" applyFill="1" applyBorder="1" applyAlignment="1" applyProtection="1">
      <alignment horizontal="center"/>
      <protection/>
    </xf>
    <xf numFmtId="1" fontId="0" fillId="4" borderId="28" xfId="0" applyNumberFormat="1" applyFont="1" applyFill="1" applyBorder="1" applyAlignment="1" applyProtection="1">
      <alignment horizontal="center"/>
      <protection/>
    </xf>
    <xf numFmtId="44" fontId="0" fillId="2" borderId="1" xfId="17" applyFill="1" applyBorder="1" applyAlignment="1" applyProtection="1">
      <alignment horizontal="center"/>
      <protection locked="0"/>
    </xf>
    <xf numFmtId="44" fontId="1" fillId="3" borderId="10" xfId="17" applyFont="1" applyFill="1" applyBorder="1" applyAlignment="1" applyProtection="1">
      <alignment horizontal="center"/>
      <protection/>
    </xf>
    <xf numFmtId="44" fontId="1" fillId="3" borderId="0" xfId="17" applyFont="1" applyFill="1" applyBorder="1" applyAlignment="1" applyProtection="1">
      <alignment horizontal="center"/>
      <protection/>
    </xf>
    <xf numFmtId="44" fontId="0" fillId="3" borderId="10" xfId="17" applyFill="1" applyBorder="1" applyAlignment="1" applyProtection="1">
      <alignment horizontal="center"/>
      <protection/>
    </xf>
    <xf numFmtId="44" fontId="0" fillId="3" borderId="0" xfId="17" applyFill="1" applyBorder="1" applyAlignment="1" applyProtection="1">
      <alignment horizontal="center"/>
      <protection/>
    </xf>
    <xf numFmtId="44" fontId="0" fillId="3" borderId="32" xfId="17" applyFill="1" applyBorder="1" applyAlignment="1" applyProtection="1">
      <alignment horizontal="center"/>
      <protection/>
    </xf>
    <xf numFmtId="44" fontId="0" fillId="3" borderId="33" xfId="17" applyFill="1" applyBorder="1" applyAlignment="1" applyProtection="1">
      <alignment horizontal="center"/>
      <protection/>
    </xf>
    <xf numFmtId="44" fontId="0" fillId="2" borderId="2" xfId="17" applyFill="1" applyBorder="1" applyAlignment="1" applyProtection="1">
      <alignment horizontal="center"/>
      <protection locked="0"/>
    </xf>
    <xf numFmtId="44" fontId="0" fillId="2" borderId="3" xfId="17" applyFill="1" applyBorder="1" applyAlignment="1" applyProtection="1">
      <alignment horizontal="center"/>
      <protection locked="0"/>
    </xf>
    <xf numFmtId="44" fontId="1" fillId="3" borderId="23" xfId="17" applyFont="1" applyFill="1" applyBorder="1" applyAlignment="1" applyProtection="1">
      <alignment horizontal="center"/>
      <protection/>
    </xf>
    <xf numFmtId="44" fontId="1" fillId="3" borderId="22" xfId="17" applyFont="1" applyFill="1" applyBorder="1" applyAlignment="1" applyProtection="1">
      <alignment horizontal="center"/>
      <protection/>
    </xf>
    <xf numFmtId="44" fontId="1" fillId="3" borderId="34" xfId="17" applyFont="1" applyFill="1" applyBorder="1" applyAlignment="1" applyProtection="1">
      <alignment horizontal="center"/>
      <protection/>
    </xf>
    <xf numFmtId="1" fontId="0" fillId="7" borderId="35" xfId="0" applyNumberFormat="1" applyFill="1" applyBorder="1" applyAlignment="1" applyProtection="1">
      <alignment horizontal="center"/>
      <protection/>
    </xf>
    <xf numFmtId="1" fontId="0" fillId="7" borderId="36" xfId="0" applyNumberFormat="1" applyFill="1" applyBorder="1" applyAlignment="1" applyProtection="1">
      <alignment horizontal="center"/>
      <protection/>
    </xf>
    <xf numFmtId="44" fontId="0" fillId="2" borderId="1" xfId="17" applyFont="1" applyFill="1" applyBorder="1" applyAlignment="1" applyProtection="1">
      <alignment horizontal="center"/>
      <protection locked="0"/>
    </xf>
    <xf numFmtId="44" fontId="0" fillId="2" borderId="6" xfId="17" applyFont="1" applyFill="1" applyBorder="1" applyAlignment="1" applyProtection="1">
      <alignment horizontal="center"/>
      <protection locked="0"/>
    </xf>
    <xf numFmtId="44" fontId="0" fillId="2" borderId="6" xfId="17" applyFill="1" applyBorder="1" applyAlignment="1" applyProtection="1">
      <alignment horizontal="center"/>
      <protection locked="0"/>
    </xf>
    <xf numFmtId="44" fontId="0" fillId="2" borderId="22" xfId="17" applyFont="1" applyFill="1" applyBorder="1" applyAlignment="1" applyProtection="1">
      <alignment horizontal="center"/>
      <protection locked="0"/>
    </xf>
    <xf numFmtId="44" fontId="1" fillId="2" borderId="1" xfId="17" applyFont="1" applyFill="1" applyBorder="1" applyAlignment="1" applyProtection="1">
      <alignment horizontal="center"/>
      <protection locked="0"/>
    </xf>
    <xf numFmtId="44" fontId="0" fillId="2" borderId="14" xfId="17" applyFill="1" applyBorder="1" applyAlignment="1" applyProtection="1">
      <alignment horizontal="center"/>
      <protection locked="0"/>
    </xf>
    <xf numFmtId="44" fontId="0" fillId="2" borderId="4" xfId="17" applyFill="1" applyBorder="1" applyAlignment="1" applyProtection="1">
      <alignment horizontal="center"/>
      <protection locked="0"/>
    </xf>
    <xf numFmtId="44" fontId="0" fillId="2" borderId="5" xfId="17" applyFill="1" applyBorder="1" applyAlignment="1" applyProtection="1">
      <alignment horizontal="center"/>
      <protection locked="0"/>
    </xf>
    <xf numFmtId="166" fontId="19" fillId="10" borderId="37" xfId="0" applyNumberFormat="1" applyFont="1" applyFill="1" applyBorder="1" applyAlignment="1" applyProtection="1">
      <alignment horizontal="center"/>
      <protection/>
    </xf>
    <xf numFmtId="166" fontId="21" fillId="11" borderId="16" xfId="0" applyNumberFormat="1" applyFont="1" applyFill="1" applyBorder="1" applyAlignment="1" applyProtection="1">
      <alignment horizontal="center"/>
      <protection/>
    </xf>
    <xf numFmtId="49" fontId="0" fillId="2" borderId="1" xfId="0" applyNumberFormat="1" applyFill="1" applyBorder="1" applyAlignment="1" applyProtection="1">
      <alignment horizontal="center"/>
      <protection locked="0"/>
    </xf>
    <xf numFmtId="49" fontId="0" fillId="2" borderId="14" xfId="0" applyNumberFormat="1" applyFill="1" applyBorder="1" applyAlignment="1" applyProtection="1">
      <alignment horizontal="center"/>
      <protection locked="0"/>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49" fontId="0" fillId="2" borderId="5" xfId="0" applyNumberFormat="1" applyFill="1" applyBorder="1" applyAlignment="1" applyProtection="1">
      <alignment horizontal="center"/>
      <protection locked="0"/>
    </xf>
    <xf numFmtId="0" fontId="0" fillId="2" borderId="38" xfId="0" applyFill="1" applyBorder="1" applyAlignment="1" applyProtection="1">
      <alignment horizontal="left" wrapText="1"/>
      <protection locked="0"/>
    </xf>
    <xf numFmtId="49" fontId="0" fillId="2" borderId="6" xfId="0" applyNumberFormat="1" applyFill="1" applyBorder="1" applyAlignment="1" applyProtection="1">
      <alignment horizontal="center"/>
      <protection locked="0"/>
    </xf>
    <xf numFmtId="49" fontId="0" fillId="2" borderId="22" xfId="0" applyNumberFormat="1"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0" borderId="39" xfId="0" applyBorder="1" applyAlignment="1" applyProtection="1">
      <alignment horizontal="left" wrapText="1"/>
      <protection/>
    </xf>
    <xf numFmtId="9" fontId="21" fillId="11" borderId="16" xfId="22" applyFont="1" applyFill="1" applyBorder="1" applyAlignment="1" applyProtection="1">
      <alignment horizontal="center"/>
      <protection/>
    </xf>
    <xf numFmtId="166" fontId="21" fillId="10" borderId="40" xfId="0" applyNumberFormat="1" applyFont="1" applyFill="1" applyBorder="1" applyAlignment="1" applyProtection="1">
      <alignment horizontal="center"/>
      <protection/>
    </xf>
    <xf numFmtId="0" fontId="21" fillId="10" borderId="40" xfId="0" applyFont="1" applyFill="1" applyBorder="1" applyAlignment="1" applyProtection="1">
      <alignment horizontal="center"/>
      <protection/>
    </xf>
    <xf numFmtId="1" fontId="21" fillId="10" borderId="40" xfId="0" applyNumberFormat="1" applyFont="1" applyFill="1" applyBorder="1" applyAlignment="1" applyProtection="1">
      <alignment horizontal="center"/>
      <protection/>
    </xf>
    <xf numFmtId="1" fontId="21" fillId="11" borderId="41" xfId="0" applyNumberFormat="1" applyFont="1" applyFill="1" applyBorder="1" applyAlignment="1" applyProtection="1">
      <alignment horizontal="center"/>
      <protection/>
    </xf>
    <xf numFmtId="166" fontId="21" fillId="11" borderId="41" xfId="0" applyNumberFormat="1" applyFont="1" applyFill="1" applyBorder="1" applyAlignment="1" applyProtection="1">
      <alignment horizontal="center"/>
      <protection/>
    </xf>
    <xf numFmtId="0" fontId="21" fillId="11" borderId="41" xfId="0" applyFont="1" applyFill="1" applyBorder="1" applyAlignment="1" applyProtection="1">
      <alignment horizontal="center"/>
      <protection/>
    </xf>
    <xf numFmtId="1" fontId="21" fillId="10" borderId="37" xfId="0" applyNumberFormat="1" applyFont="1" applyFill="1" applyBorder="1" applyAlignment="1" applyProtection="1">
      <alignment horizontal="center"/>
      <protection/>
    </xf>
    <xf numFmtId="166" fontId="21" fillId="12" borderId="41" xfId="0" applyNumberFormat="1" applyFont="1" applyFill="1" applyBorder="1" applyAlignment="1" applyProtection="1">
      <alignment horizontal="center"/>
      <protection/>
    </xf>
    <xf numFmtId="1" fontId="21" fillId="12" borderId="41" xfId="0" applyNumberFormat="1" applyFont="1" applyFill="1" applyBorder="1" applyAlignment="1" applyProtection="1">
      <alignment horizontal="center"/>
      <protection/>
    </xf>
    <xf numFmtId="0" fontId="21" fillId="12" borderId="41" xfId="0" applyFont="1" applyFill="1" applyBorder="1" applyAlignment="1" applyProtection="1">
      <alignment horizontal="center"/>
      <protection/>
    </xf>
    <xf numFmtId="1" fontId="21" fillId="12" borderId="42" xfId="0" applyNumberFormat="1" applyFont="1" applyFill="1" applyBorder="1" applyAlignment="1" applyProtection="1">
      <alignment horizontal="center"/>
      <protection/>
    </xf>
    <xf numFmtId="1" fontId="21" fillId="11" borderId="42" xfId="0" applyNumberFormat="1" applyFont="1" applyFill="1" applyBorder="1" applyAlignment="1" applyProtection="1">
      <alignment horizontal="center"/>
      <protection/>
    </xf>
    <xf numFmtId="0" fontId="1" fillId="13" borderId="22" xfId="0" applyFont="1" applyFill="1" applyBorder="1" applyAlignment="1" applyProtection="1">
      <alignment horizontal="center"/>
      <protection/>
    </xf>
    <xf numFmtId="1" fontId="18" fillId="14" borderId="43" xfId="0" applyNumberFormat="1" applyFont="1" applyFill="1" applyBorder="1" applyAlignment="1" applyProtection="1">
      <alignment horizontal="center" wrapText="1"/>
      <protection/>
    </xf>
    <xf numFmtId="1" fontId="18" fillId="14" borderId="20" xfId="0" applyNumberFormat="1" applyFont="1" applyFill="1" applyBorder="1" applyAlignment="1" applyProtection="1">
      <alignment horizontal="center" wrapText="1"/>
      <protection/>
    </xf>
    <xf numFmtId="0" fontId="18" fillId="14" borderId="20" xfId="0" applyFont="1" applyFill="1" applyBorder="1" applyAlignment="1" applyProtection="1">
      <alignment horizontal="center" wrapText="1"/>
      <protection/>
    </xf>
    <xf numFmtId="0" fontId="0" fillId="13" borderId="22" xfId="0" applyFill="1" applyBorder="1" applyAlignment="1" applyProtection="1">
      <alignment horizontal="center"/>
      <protection/>
    </xf>
    <xf numFmtId="0" fontId="0" fillId="13" borderId="34" xfId="0" applyFill="1" applyBorder="1" applyAlignment="1" applyProtection="1">
      <alignment horizontal="center"/>
      <protection/>
    </xf>
    <xf numFmtId="0" fontId="1" fillId="13" borderId="44" xfId="0" applyFont="1" applyFill="1" applyBorder="1" applyAlignment="1" applyProtection="1">
      <alignment horizontal="left" wrapText="1"/>
      <protection/>
    </xf>
    <xf numFmtId="0" fontId="0" fillId="13" borderId="23" xfId="0" applyFill="1" applyBorder="1" applyAlignment="1" applyProtection="1">
      <alignment horizontal="center"/>
      <protection/>
    </xf>
    <xf numFmtId="0" fontId="0" fillId="13" borderId="1" xfId="0" applyFill="1" applyBorder="1" applyAlignment="1" applyProtection="1">
      <alignment horizontal="center"/>
      <protection/>
    </xf>
    <xf numFmtId="0" fontId="0" fillId="13" borderId="39" xfId="0" applyFont="1" applyFill="1" applyBorder="1" applyAlignment="1" applyProtection="1">
      <alignment horizontal="left" wrapText="1"/>
      <protection/>
    </xf>
    <xf numFmtId="0" fontId="0" fillId="0" borderId="8" xfId="0" applyBorder="1" applyAlignment="1" applyProtection="1">
      <alignment horizontal="left" wrapText="1"/>
      <protection/>
    </xf>
    <xf numFmtId="0" fontId="18" fillId="14" borderId="45" xfId="0" applyFont="1" applyFill="1" applyBorder="1" applyAlignment="1" applyProtection="1">
      <alignment horizontal="center" wrapText="1"/>
      <protection/>
    </xf>
    <xf numFmtId="166" fontId="18" fillId="14" borderId="20" xfId="0" applyNumberFormat="1" applyFont="1" applyFill="1" applyBorder="1" applyAlignment="1" applyProtection="1">
      <alignment horizontal="center" wrapText="1"/>
      <protection/>
    </xf>
    <xf numFmtId="1" fontId="18" fillId="14" borderId="46" xfId="0" applyNumberFormat="1" applyFont="1" applyFill="1" applyBorder="1" applyAlignment="1" applyProtection="1">
      <alignment horizontal="center" wrapText="1"/>
      <protection/>
    </xf>
    <xf numFmtId="166" fontId="0" fillId="15" borderId="1" xfId="0" applyNumberFormat="1" applyFill="1" applyBorder="1" applyAlignment="1" applyProtection="1">
      <alignment horizontal="center"/>
      <protection locked="0"/>
    </xf>
    <xf numFmtId="1" fontId="0" fillId="16" borderId="1" xfId="0" applyNumberFormat="1" applyFill="1" applyBorder="1" applyAlignment="1" applyProtection="1">
      <alignment horizontal="center"/>
      <protection locked="0"/>
    </xf>
    <xf numFmtId="166" fontId="0" fillId="16" borderId="1" xfId="0" applyNumberFormat="1" applyFill="1" applyBorder="1" applyAlignment="1" applyProtection="1">
      <alignment horizontal="center"/>
      <protection locked="0"/>
    </xf>
    <xf numFmtId="1" fontId="0" fillId="17" borderId="1" xfId="0" applyNumberFormat="1" applyFill="1" applyBorder="1" applyAlignment="1" applyProtection="1">
      <alignment horizontal="center"/>
      <protection locked="0"/>
    </xf>
    <xf numFmtId="166" fontId="0" fillId="17" borderId="1" xfId="0" applyNumberFormat="1" applyFill="1" applyBorder="1" applyAlignment="1" applyProtection="1">
      <alignment horizontal="center"/>
      <protection locked="0"/>
    </xf>
    <xf numFmtId="1" fontId="0" fillId="15" borderId="19" xfId="0" applyNumberFormat="1" applyFill="1" applyBorder="1" applyAlignment="1" applyProtection="1">
      <alignment horizontal="center"/>
      <protection locked="0"/>
    </xf>
    <xf numFmtId="44" fontId="1" fillId="17" borderId="1" xfId="17" applyFont="1" applyFill="1" applyBorder="1" applyAlignment="1" applyProtection="1">
      <alignment horizontal="center"/>
      <protection/>
    </xf>
    <xf numFmtId="44" fontId="0" fillId="17" borderId="47" xfId="17" applyFill="1" applyBorder="1" applyAlignment="1" applyProtection="1">
      <alignment horizontal="center"/>
      <protection/>
    </xf>
    <xf numFmtId="44" fontId="1" fillId="17" borderId="22" xfId="17" applyFont="1" applyFill="1" applyBorder="1" applyAlignment="1" applyProtection="1">
      <alignment horizontal="center"/>
      <protection/>
    </xf>
    <xf numFmtId="44" fontId="0" fillId="17" borderId="22" xfId="17" applyFont="1" applyFill="1" applyBorder="1" applyAlignment="1" applyProtection="1">
      <alignment horizontal="center"/>
      <protection/>
    </xf>
    <xf numFmtId="44" fontId="0" fillId="16" borderId="1" xfId="17" applyFont="1" applyFill="1" applyBorder="1" applyAlignment="1" applyProtection="1">
      <alignment horizontal="center"/>
      <protection/>
    </xf>
    <xf numFmtId="44" fontId="0" fillId="16" borderId="47" xfId="17" applyFill="1" applyBorder="1" applyAlignment="1" applyProtection="1">
      <alignment horizontal="center"/>
      <protection/>
    </xf>
    <xf numFmtId="44" fontId="0" fillId="16" borderId="28" xfId="17" applyFont="1" applyFill="1" applyBorder="1" applyAlignment="1" applyProtection="1">
      <alignment horizontal="center"/>
      <protection/>
    </xf>
    <xf numFmtId="44" fontId="0" fillId="16" borderId="48" xfId="17" applyFill="1" applyBorder="1" applyAlignment="1" applyProtection="1">
      <alignment horizontal="center"/>
      <protection/>
    </xf>
    <xf numFmtId="44" fontId="18" fillId="14" borderId="20" xfId="17" applyFont="1" applyFill="1" applyBorder="1" applyAlignment="1" applyProtection="1">
      <alignment horizontal="center" wrapText="1"/>
      <protection/>
    </xf>
    <xf numFmtId="44" fontId="1" fillId="16" borderId="49" xfId="17" applyFont="1" applyFill="1" applyBorder="1" applyAlignment="1" applyProtection="1">
      <alignment horizontal="center"/>
      <protection/>
    </xf>
    <xf numFmtId="44" fontId="1" fillId="16" borderId="50" xfId="17" applyFont="1" applyFill="1" applyBorder="1" applyAlignment="1" applyProtection="1">
      <alignment horizontal="center"/>
      <protection/>
    </xf>
    <xf numFmtId="44" fontId="0" fillId="16" borderId="6" xfId="17" applyFont="1" applyFill="1" applyBorder="1" applyAlignment="1" applyProtection="1">
      <alignment horizontal="center"/>
      <protection/>
    </xf>
    <xf numFmtId="44" fontId="0" fillId="16" borderId="51" xfId="17" applyFill="1" applyBorder="1" applyAlignment="1" applyProtection="1">
      <alignment horizontal="center"/>
      <protection/>
    </xf>
    <xf numFmtId="44" fontId="1" fillId="8" borderId="23" xfId="17" applyFont="1" applyFill="1" applyBorder="1" applyAlignment="1" applyProtection="1">
      <alignment horizontal="center"/>
      <protection/>
    </xf>
    <xf numFmtId="44" fontId="0" fillId="8" borderId="23" xfId="17" applyFont="1" applyFill="1" applyBorder="1" applyAlignment="1" applyProtection="1">
      <alignment horizontal="center"/>
      <protection/>
    </xf>
    <xf numFmtId="44" fontId="1" fillId="8" borderId="22" xfId="17" applyFont="1" applyFill="1" applyBorder="1" applyAlignment="1" applyProtection="1">
      <alignment horizontal="center"/>
      <protection/>
    </xf>
    <xf numFmtId="44" fontId="1" fillId="16" borderId="52" xfId="17" applyFont="1" applyFill="1" applyBorder="1" applyAlignment="1" applyProtection="1">
      <alignment horizontal="center"/>
      <protection/>
    </xf>
    <xf numFmtId="44" fontId="1" fillId="17" borderId="23" xfId="17" applyFont="1" applyFill="1" applyBorder="1" applyAlignment="1" applyProtection="1">
      <alignment horizontal="center"/>
      <protection/>
    </xf>
    <xf numFmtId="44" fontId="0" fillId="17" borderId="23" xfId="17" applyFont="1" applyFill="1" applyBorder="1" applyAlignment="1" applyProtection="1">
      <alignment horizontal="center"/>
      <protection/>
    </xf>
    <xf numFmtId="44" fontId="1" fillId="17" borderId="35" xfId="17" applyFont="1" applyFill="1" applyBorder="1" applyAlignment="1" applyProtection="1">
      <alignment horizontal="center"/>
      <protection/>
    </xf>
    <xf numFmtId="44" fontId="0" fillId="17" borderId="35" xfId="17" applyFont="1" applyFill="1" applyBorder="1" applyAlignment="1" applyProtection="1">
      <alignment horizontal="center"/>
      <protection/>
    </xf>
    <xf numFmtId="44" fontId="0" fillId="17" borderId="53" xfId="17" applyFill="1" applyBorder="1" applyAlignment="1" applyProtection="1">
      <alignment horizontal="center"/>
      <protection/>
    </xf>
    <xf numFmtId="0" fontId="6" fillId="2" borderId="20" xfId="0" applyFont="1" applyFill="1" applyBorder="1" applyAlignment="1" applyProtection="1">
      <alignment horizontal="center"/>
      <protection locked="0"/>
    </xf>
    <xf numFmtId="0" fontId="0" fillId="13" borderId="31" xfId="0" applyFill="1" applyBorder="1" applyAlignment="1" applyProtection="1">
      <alignment horizontal="center"/>
      <protection/>
    </xf>
    <xf numFmtId="0" fontId="0" fillId="13" borderId="15" xfId="0" applyFill="1" applyBorder="1" applyAlignment="1" applyProtection="1">
      <alignment horizontal="center"/>
      <protection/>
    </xf>
    <xf numFmtId="0" fontId="0" fillId="2" borderId="54" xfId="0" applyFill="1" applyBorder="1" applyAlignment="1" applyProtection="1">
      <alignment horizontal="left" wrapText="1"/>
      <protection locked="0"/>
    </xf>
    <xf numFmtId="0" fontId="0" fillId="2" borderId="55" xfId="0" applyFill="1" applyBorder="1" applyAlignment="1" applyProtection="1">
      <alignment horizontal="left" wrapText="1"/>
      <protection locked="0"/>
    </xf>
    <xf numFmtId="0" fontId="0" fillId="2" borderId="56" xfId="0" applyFill="1" applyBorder="1" applyAlignment="1" applyProtection="1">
      <alignment horizontal="left" wrapText="1"/>
      <protection locked="0"/>
    </xf>
    <xf numFmtId="0" fontId="0" fillId="2" borderId="8" xfId="0" applyFont="1" applyFill="1" applyBorder="1" applyAlignment="1" applyProtection="1">
      <alignment horizontal="left" wrapText="1"/>
      <protection locked="0"/>
    </xf>
    <xf numFmtId="0" fontId="1" fillId="2" borderId="57" xfId="0" applyFont="1" applyFill="1" applyBorder="1" applyAlignment="1" applyProtection="1">
      <alignment horizontal="left" wrapText="1"/>
      <protection locked="0"/>
    </xf>
    <xf numFmtId="0" fontId="0" fillId="0" borderId="38" xfId="0" applyBorder="1" applyAlignment="1" applyProtection="1">
      <alignment horizontal="left" wrapText="1"/>
      <protection/>
    </xf>
    <xf numFmtId="0" fontId="1" fillId="13" borderId="58" xfId="0" applyFont="1" applyFill="1" applyBorder="1" applyAlignment="1" applyProtection="1">
      <alignment horizontal="left" wrapText="1"/>
      <protection/>
    </xf>
    <xf numFmtId="0" fontId="0" fillId="0" borderId="54" xfId="0" applyBorder="1" applyAlignment="1" applyProtection="1">
      <alignment horizontal="left" wrapText="1"/>
      <protection/>
    </xf>
    <xf numFmtId="0" fontId="0" fillId="13" borderId="39" xfId="0" applyFill="1" applyBorder="1" applyAlignment="1" applyProtection="1">
      <alignment horizontal="left" wrapText="1"/>
      <protection/>
    </xf>
    <xf numFmtId="0" fontId="0" fillId="0" borderId="55" xfId="0" applyBorder="1" applyAlignment="1" applyProtection="1">
      <alignment horizontal="left" wrapText="1"/>
      <protection/>
    </xf>
    <xf numFmtId="0" fontId="1" fillId="13" borderId="57" xfId="0" applyFont="1" applyFill="1" applyBorder="1" applyAlignment="1" applyProtection="1">
      <alignment horizontal="left" wrapText="1"/>
      <protection/>
    </xf>
    <xf numFmtId="0" fontId="27" fillId="0" borderId="8" xfId="0" applyFont="1" applyBorder="1" applyAlignment="1" applyProtection="1">
      <alignment horizontal="center" wrapText="1"/>
      <protection/>
    </xf>
    <xf numFmtId="0" fontId="27" fillId="0" borderId="6" xfId="0" applyFont="1" applyBorder="1" applyAlignment="1" applyProtection="1">
      <alignment horizontal="center" wrapText="1"/>
      <protection/>
    </xf>
    <xf numFmtId="1" fontId="27" fillId="0" borderId="6" xfId="0" applyNumberFormat="1" applyFont="1" applyBorder="1" applyAlignment="1" applyProtection="1">
      <alignment horizontal="center" wrapText="1"/>
      <protection/>
    </xf>
    <xf numFmtId="166" fontId="27" fillId="0" borderId="6" xfId="0" applyNumberFormat="1" applyFont="1" applyBorder="1" applyAlignment="1" applyProtection="1">
      <alignment horizontal="center" wrapText="1"/>
      <protection/>
    </xf>
    <xf numFmtId="166" fontId="27" fillId="0" borderId="20" xfId="0" applyNumberFormat="1" applyFont="1" applyBorder="1" applyAlignment="1" applyProtection="1">
      <alignment horizontal="center" wrapText="1"/>
      <protection/>
    </xf>
    <xf numFmtId="1" fontId="27" fillId="0" borderId="20" xfId="0" applyNumberFormat="1" applyFont="1" applyBorder="1" applyAlignment="1" applyProtection="1">
      <alignment horizontal="center" wrapText="1"/>
      <protection/>
    </xf>
    <xf numFmtId="1" fontId="27" fillId="0" borderId="59" xfId="0" applyNumberFormat="1" applyFont="1" applyFill="1" applyBorder="1" applyAlignment="1" applyProtection="1">
      <alignment horizontal="center" wrapText="1"/>
      <protection/>
    </xf>
    <xf numFmtId="166" fontId="27" fillId="0" borderId="59" xfId="0" applyNumberFormat="1" applyFont="1" applyFill="1" applyBorder="1" applyAlignment="1" applyProtection="1">
      <alignment horizontal="center" wrapText="1"/>
      <protection/>
    </xf>
    <xf numFmtId="1" fontId="27" fillId="0" borderId="60" xfId="0" applyNumberFormat="1" applyFont="1" applyFill="1" applyBorder="1" applyAlignment="1" applyProtection="1">
      <alignment horizontal="center" wrapText="1"/>
      <protection/>
    </xf>
    <xf numFmtId="1" fontId="27" fillId="0" borderId="20" xfId="0" applyNumberFormat="1" applyFont="1" applyFill="1" applyBorder="1" applyAlignment="1" applyProtection="1">
      <alignment horizontal="center" wrapText="1"/>
      <protection/>
    </xf>
    <xf numFmtId="166" fontId="27" fillId="0" borderId="20" xfId="0" applyNumberFormat="1" applyFont="1" applyFill="1" applyBorder="1" applyAlignment="1" applyProtection="1">
      <alignment horizontal="center" wrapText="1"/>
      <protection/>
    </xf>
    <xf numFmtId="1" fontId="27" fillId="0" borderId="46" xfId="0" applyNumberFormat="1" applyFont="1" applyFill="1" applyBorder="1" applyAlignment="1" applyProtection="1">
      <alignment horizontal="center" wrapText="1"/>
      <protection/>
    </xf>
    <xf numFmtId="0" fontId="0" fillId="13" borderId="61" xfId="0" applyFill="1" applyBorder="1" applyAlignment="1" applyProtection="1">
      <alignment horizontal="center"/>
      <protection/>
    </xf>
    <xf numFmtId="0" fontId="0" fillId="2" borderId="7" xfId="0" applyFill="1" applyBorder="1" applyAlignment="1" applyProtection="1">
      <alignment/>
      <protection locked="0"/>
    </xf>
    <xf numFmtId="0" fontId="0" fillId="2" borderId="62" xfId="0" applyFill="1" applyBorder="1" applyAlignment="1" applyProtection="1">
      <alignment/>
      <protection locked="0"/>
    </xf>
    <xf numFmtId="0" fontId="0" fillId="13" borderId="63" xfId="0" applyFill="1" applyBorder="1" applyAlignment="1" applyProtection="1">
      <alignment horizontal="center"/>
      <protection/>
    </xf>
    <xf numFmtId="0" fontId="0" fillId="2" borderId="2" xfId="0" applyFill="1" applyBorder="1" applyAlignment="1" applyProtection="1">
      <alignment/>
      <protection locked="0"/>
    </xf>
    <xf numFmtId="0" fontId="0" fillId="2" borderId="64" xfId="0" applyFill="1" applyBorder="1" applyAlignment="1" applyProtection="1">
      <alignment/>
      <protection locked="0"/>
    </xf>
    <xf numFmtId="166" fontId="0" fillId="2" borderId="0" xfId="0" applyNumberFormat="1" applyFill="1" applyBorder="1" applyAlignment="1" applyProtection="1">
      <alignment horizontal="center"/>
      <protection/>
    </xf>
    <xf numFmtId="166" fontId="0" fillId="18" borderId="0" xfId="0" applyNumberFormat="1" applyFill="1" applyAlignment="1" applyProtection="1">
      <alignment horizontal="center"/>
      <protection/>
    </xf>
    <xf numFmtId="0" fontId="0" fillId="18" borderId="0" xfId="0" applyFill="1" applyAlignment="1">
      <alignment/>
    </xf>
    <xf numFmtId="0" fontId="0" fillId="18" borderId="0" xfId="0" applyFill="1" applyBorder="1" applyAlignment="1">
      <alignment/>
    </xf>
    <xf numFmtId="0" fontId="0" fillId="18" borderId="0" xfId="0" applyFill="1" applyAlignment="1" applyProtection="1">
      <alignment/>
      <protection locked="0"/>
    </xf>
    <xf numFmtId="1" fontId="0" fillId="18" borderId="0" xfId="0" applyNumberFormat="1" applyFill="1" applyBorder="1" applyAlignment="1" applyProtection="1">
      <alignment horizontal="center"/>
      <protection/>
    </xf>
    <xf numFmtId="0" fontId="0" fillId="18" borderId="0" xfId="0" applyFill="1" applyBorder="1" applyAlignment="1" applyProtection="1">
      <alignment horizontal="center"/>
      <protection/>
    </xf>
    <xf numFmtId="1" fontId="1" fillId="18" borderId="0" xfId="0" applyNumberFormat="1" applyFont="1" applyFill="1" applyBorder="1" applyAlignment="1" applyProtection="1">
      <alignment horizontal="center"/>
      <protection/>
    </xf>
    <xf numFmtId="166" fontId="0" fillId="18" borderId="0" xfId="0" applyNumberFormat="1" applyFill="1" applyBorder="1" applyAlignment="1" applyProtection="1">
      <alignment horizontal="center"/>
      <protection/>
    </xf>
    <xf numFmtId="0" fontId="0" fillId="18" borderId="0" xfId="0" applyFill="1" applyBorder="1" applyAlignment="1" applyProtection="1">
      <alignment horizontal="left" wrapText="1"/>
      <protection/>
    </xf>
    <xf numFmtId="1" fontId="0" fillId="18" borderId="65" xfId="0" applyNumberFormat="1" applyFill="1" applyBorder="1" applyAlignment="1" applyProtection="1">
      <alignment horizontal="center"/>
      <protection/>
    </xf>
    <xf numFmtId="44" fontId="1" fillId="18" borderId="65" xfId="17" applyFont="1" applyFill="1" applyBorder="1" applyAlignment="1" applyProtection="1">
      <alignment horizontal="center"/>
      <protection/>
    </xf>
    <xf numFmtId="44" fontId="0" fillId="18" borderId="0" xfId="17" applyFill="1" applyBorder="1" applyAlignment="1" applyProtection="1">
      <alignment horizontal="center"/>
      <protection/>
    </xf>
    <xf numFmtId="166" fontId="1" fillId="18" borderId="0" xfId="0" applyNumberFormat="1" applyFont="1" applyFill="1" applyBorder="1" applyAlignment="1" applyProtection="1">
      <alignment horizontal="center" wrapText="1"/>
      <protection/>
    </xf>
    <xf numFmtId="166" fontId="0" fillId="18" borderId="66" xfId="0" applyNumberFormat="1" applyFill="1" applyBorder="1" applyAlignment="1" applyProtection="1">
      <alignment horizontal="center"/>
      <protection/>
    </xf>
    <xf numFmtId="1" fontId="1" fillId="3" borderId="67" xfId="0" applyNumberFormat="1" applyFont="1" applyFill="1" applyBorder="1" applyAlignment="1" applyProtection="1">
      <alignment horizontal="center"/>
      <protection/>
    </xf>
    <xf numFmtId="44" fontId="1" fillId="3" borderId="68" xfId="17" applyFont="1" applyFill="1" applyBorder="1" applyAlignment="1" applyProtection="1">
      <alignment horizontal="center"/>
      <protection/>
    </xf>
    <xf numFmtId="1" fontId="1" fillId="3" borderId="69" xfId="0" applyNumberFormat="1" applyFont="1" applyFill="1" applyBorder="1" applyAlignment="1" applyProtection="1">
      <alignment horizontal="center"/>
      <protection/>
    </xf>
    <xf numFmtId="1" fontId="0" fillId="3" borderId="70" xfId="0" applyNumberFormat="1" applyFill="1" applyBorder="1" applyAlignment="1" applyProtection="1">
      <alignment horizontal="center"/>
      <protection/>
    </xf>
    <xf numFmtId="1" fontId="1" fillId="3" borderId="68" xfId="0" applyNumberFormat="1" applyFont="1" applyFill="1" applyBorder="1" applyAlignment="1" applyProtection="1">
      <alignment horizontal="center"/>
      <protection/>
    </xf>
    <xf numFmtId="1" fontId="0" fillId="3" borderId="68" xfId="0" applyNumberFormat="1" applyFill="1" applyBorder="1" applyAlignment="1" applyProtection="1">
      <alignment horizontal="center"/>
      <protection/>
    </xf>
    <xf numFmtId="0" fontId="0" fillId="0" borderId="71" xfId="0" applyBorder="1" applyAlignment="1" applyProtection="1">
      <alignment horizontal="left" wrapText="1"/>
      <protection/>
    </xf>
    <xf numFmtId="0" fontId="0" fillId="2" borderId="72" xfId="0" applyFill="1" applyBorder="1" applyAlignment="1" applyProtection="1">
      <alignment horizontal="left" wrapText="1"/>
      <protection locked="0"/>
    </xf>
    <xf numFmtId="1" fontId="1" fillId="3" borderId="6" xfId="0" applyNumberFormat="1" applyFont="1" applyFill="1" applyBorder="1" applyAlignment="1" applyProtection="1">
      <alignment horizontal="center"/>
      <protection/>
    </xf>
    <xf numFmtId="0" fontId="0" fillId="2" borderId="43" xfId="0" applyFill="1" applyBorder="1" applyAlignment="1" applyProtection="1">
      <alignment/>
      <protection locked="0"/>
    </xf>
    <xf numFmtId="0" fontId="0" fillId="2" borderId="15" xfId="0" applyFill="1" applyBorder="1" applyAlignment="1" applyProtection="1">
      <alignment/>
      <protection locked="0"/>
    </xf>
    <xf numFmtId="0" fontId="0" fillId="2" borderId="61" xfId="0" applyFill="1" applyBorder="1" applyAlignment="1" applyProtection="1">
      <alignment/>
      <protection locked="0"/>
    </xf>
    <xf numFmtId="44" fontId="1" fillId="3" borderId="51" xfId="17" applyFont="1" applyFill="1" applyBorder="1" applyAlignment="1" applyProtection="1">
      <alignment horizontal="center"/>
      <protection/>
    </xf>
    <xf numFmtId="1" fontId="1" fillId="19" borderId="22" xfId="0" applyNumberFormat="1" applyFont="1" applyFill="1" applyBorder="1" applyAlignment="1" applyProtection="1">
      <alignment horizontal="center"/>
      <protection/>
    </xf>
    <xf numFmtId="1" fontId="0" fillId="2" borderId="14" xfId="0" applyNumberFormat="1" applyFill="1" applyBorder="1" applyAlignment="1" applyProtection="1">
      <alignment horizontal="center"/>
      <protection locked="0"/>
    </xf>
    <xf numFmtId="1" fontId="1" fillId="19" borderId="1" xfId="0" applyNumberFormat="1" applyFont="1" applyFill="1" applyBorder="1" applyAlignment="1" applyProtection="1">
      <alignment horizontal="center"/>
      <protection/>
    </xf>
    <xf numFmtId="1" fontId="0" fillId="6" borderId="1" xfId="0" applyNumberFormat="1" applyFont="1" applyFill="1" applyBorder="1" applyAlignment="1" applyProtection="1">
      <alignment horizontal="center"/>
      <protection/>
    </xf>
    <xf numFmtId="1" fontId="0" fillId="2" borderId="2" xfId="0" applyNumberFormat="1" applyFill="1" applyBorder="1" applyAlignment="1" applyProtection="1">
      <alignment horizontal="center"/>
      <protection locked="0"/>
    </xf>
    <xf numFmtId="1" fontId="1" fillId="19" borderId="23" xfId="0" applyNumberFormat="1" applyFont="1" applyFill="1" applyBorder="1" applyAlignment="1" applyProtection="1">
      <alignment horizontal="center"/>
      <protection/>
    </xf>
    <xf numFmtId="0" fontId="0" fillId="0" borderId="71" xfId="0" applyBorder="1" applyAlignment="1" applyProtection="1">
      <alignment horizontal="left" wrapText="1" indent="2"/>
      <protection/>
    </xf>
    <xf numFmtId="1" fontId="0" fillId="20" borderId="73" xfId="0" applyNumberFormat="1" applyFill="1" applyBorder="1" applyAlignment="1" applyProtection="1">
      <alignment horizontal="center"/>
      <protection locked="0"/>
    </xf>
    <xf numFmtId="0" fontId="21" fillId="11" borderId="41" xfId="0" applyFont="1" applyFill="1" applyBorder="1" applyAlignment="1" applyProtection="1">
      <alignment/>
      <protection/>
    </xf>
    <xf numFmtId="44" fontId="0" fillId="17" borderId="53" xfId="17" applyFont="1" applyFill="1" applyBorder="1" applyAlignment="1" applyProtection="1">
      <alignment horizontal="center"/>
      <protection/>
    </xf>
    <xf numFmtId="44" fontId="0" fillId="8" borderId="67" xfId="17" applyFont="1" applyFill="1" applyBorder="1" applyAlignment="1" applyProtection="1">
      <alignment horizontal="center"/>
      <protection/>
    </xf>
    <xf numFmtId="44" fontId="0" fillId="17" borderId="16" xfId="17" applyFill="1" applyBorder="1" applyAlignment="1" applyProtection="1">
      <alignment horizontal="center"/>
      <protection/>
    </xf>
    <xf numFmtId="44" fontId="0" fillId="16" borderId="16" xfId="17" applyFill="1" applyBorder="1" applyAlignment="1" applyProtection="1">
      <alignment horizontal="center"/>
      <protection/>
    </xf>
    <xf numFmtId="1" fontId="18" fillId="14" borderId="6" xfId="0" applyNumberFormat="1" applyFont="1" applyFill="1" applyBorder="1" applyAlignment="1" applyProtection="1">
      <alignment horizontal="center" wrapText="1"/>
      <protection/>
    </xf>
    <xf numFmtId="44" fontId="18" fillId="14" borderId="6" xfId="17" applyFont="1" applyFill="1" applyBorder="1" applyAlignment="1" applyProtection="1">
      <alignment horizontal="center" wrapText="1"/>
      <protection/>
    </xf>
    <xf numFmtId="44" fontId="0" fillId="2" borderId="7" xfId="17" applyFill="1" applyBorder="1" applyAlignment="1" applyProtection="1">
      <alignment horizontal="center"/>
      <protection locked="0"/>
    </xf>
    <xf numFmtId="1" fontId="1" fillId="3" borderId="74" xfId="0" applyNumberFormat="1" applyFont="1" applyFill="1" applyBorder="1" applyAlignment="1" applyProtection="1">
      <alignment horizontal="center"/>
      <protection/>
    </xf>
    <xf numFmtId="1" fontId="0" fillId="3" borderId="65" xfId="0" applyNumberFormat="1" applyFill="1" applyBorder="1" applyAlignment="1" applyProtection="1">
      <alignment horizontal="center"/>
      <protection/>
    </xf>
    <xf numFmtId="1" fontId="0" fillId="3" borderId="75" xfId="0" applyNumberFormat="1" applyFill="1" applyBorder="1" applyAlignment="1" applyProtection="1">
      <alignment horizontal="center"/>
      <protection/>
    </xf>
    <xf numFmtId="44" fontId="0" fillId="3" borderId="65" xfId="17" applyFill="1" applyBorder="1" applyAlignment="1" applyProtection="1">
      <alignment horizontal="center"/>
      <protection/>
    </xf>
    <xf numFmtId="44" fontId="0" fillId="3" borderId="76" xfId="17" applyFill="1" applyBorder="1" applyAlignment="1" applyProtection="1">
      <alignment horizontal="center"/>
      <protection/>
    </xf>
    <xf numFmtId="44" fontId="0" fillId="8" borderId="77" xfId="17" applyFont="1" applyFill="1" applyBorder="1" applyAlignment="1" applyProtection="1">
      <alignment horizontal="center"/>
      <protection/>
    </xf>
    <xf numFmtId="44" fontId="0" fillId="16" borderId="17" xfId="17" applyFill="1" applyBorder="1" applyAlignment="1" applyProtection="1">
      <alignment horizontal="center"/>
      <protection/>
    </xf>
    <xf numFmtId="44" fontId="0" fillId="17" borderId="77" xfId="17" applyFont="1" applyFill="1" applyBorder="1" applyAlignment="1" applyProtection="1">
      <alignment horizontal="center"/>
      <protection/>
    </xf>
    <xf numFmtId="44" fontId="0" fillId="17" borderId="78" xfId="17" applyFont="1" applyFill="1" applyBorder="1" applyAlignment="1" applyProtection="1">
      <alignment horizontal="center"/>
      <protection/>
    </xf>
    <xf numFmtId="44" fontId="0" fillId="17" borderId="79" xfId="17" applyFont="1" applyFill="1" applyBorder="1" applyAlignment="1" applyProtection="1">
      <alignment horizontal="center"/>
      <protection/>
    </xf>
    <xf numFmtId="44" fontId="0" fillId="16" borderId="80" xfId="17" applyFill="1" applyBorder="1" applyAlignment="1" applyProtection="1">
      <alignment horizontal="center"/>
      <protection/>
    </xf>
    <xf numFmtId="44" fontId="1" fillId="8" borderId="53" xfId="17" applyFont="1" applyFill="1" applyBorder="1" applyAlignment="1" applyProtection="1">
      <alignment horizontal="center"/>
      <protection/>
    </xf>
    <xf numFmtId="44" fontId="0" fillId="17" borderId="67" xfId="17" applyFont="1" applyFill="1" applyBorder="1" applyAlignment="1" applyProtection="1">
      <alignment horizontal="center"/>
      <protection/>
    </xf>
    <xf numFmtId="44" fontId="1" fillId="8" borderId="79" xfId="17" applyFont="1" applyFill="1" applyBorder="1" applyAlignment="1" applyProtection="1">
      <alignment horizontal="center"/>
      <protection/>
    </xf>
    <xf numFmtId="44" fontId="0" fillId="17" borderId="81" xfId="17" applyFont="1" applyFill="1" applyBorder="1" applyAlignment="1" applyProtection="1">
      <alignment horizontal="center"/>
      <protection/>
    </xf>
    <xf numFmtId="44" fontId="0" fillId="16" borderId="82" xfId="17" applyFill="1" applyBorder="1" applyAlignment="1" applyProtection="1">
      <alignment horizontal="center"/>
      <protection/>
    </xf>
    <xf numFmtId="44" fontId="0" fillId="17" borderId="79" xfId="17" applyFill="1" applyBorder="1" applyAlignment="1" applyProtection="1">
      <alignment horizontal="center"/>
      <protection/>
    </xf>
    <xf numFmtId="1" fontId="0" fillId="3" borderId="32" xfId="0" applyNumberFormat="1" applyFill="1" applyBorder="1" applyAlignment="1" applyProtection="1">
      <alignment horizontal="center"/>
      <protection/>
    </xf>
    <xf numFmtId="1" fontId="0" fillId="3" borderId="33" xfId="0" applyNumberFormat="1" applyFill="1" applyBorder="1" applyAlignment="1" applyProtection="1">
      <alignment horizontal="center"/>
      <protection/>
    </xf>
    <xf numFmtId="1" fontId="0" fillId="3" borderId="83" xfId="0" applyNumberFormat="1" applyFill="1" applyBorder="1" applyAlignment="1" applyProtection="1">
      <alignment horizontal="center"/>
      <protection/>
    </xf>
    <xf numFmtId="1" fontId="0" fillId="3" borderId="9" xfId="0" applyNumberFormat="1" applyFill="1" applyBorder="1" applyAlignment="1" applyProtection="1">
      <alignment horizontal="center"/>
      <protection/>
    </xf>
    <xf numFmtId="1" fontId="0" fillId="3" borderId="12" xfId="0" applyNumberFormat="1" applyFill="1" applyBorder="1" applyAlignment="1" applyProtection="1">
      <alignment horizontal="center"/>
      <protection/>
    </xf>
    <xf numFmtId="1" fontId="0" fillId="3" borderId="51" xfId="0" applyNumberFormat="1" applyFill="1" applyBorder="1" applyAlignment="1" applyProtection="1">
      <alignment horizontal="center"/>
      <protection/>
    </xf>
    <xf numFmtId="176" fontId="13" fillId="5" borderId="6" xfId="17" applyNumberFormat="1" applyFont="1" applyFill="1" applyBorder="1" applyAlignment="1" applyProtection="1">
      <alignment horizontal="center"/>
      <protection/>
    </xf>
    <xf numFmtId="1" fontId="0" fillId="6" borderId="14" xfId="0" applyNumberFormat="1" applyFill="1" applyBorder="1" applyAlignment="1" applyProtection="1">
      <alignment horizontal="center"/>
      <protection/>
    </xf>
    <xf numFmtId="1" fontId="0" fillId="6" borderId="2" xfId="0" applyNumberFormat="1" applyFill="1" applyBorder="1" applyAlignment="1" applyProtection="1">
      <alignment horizontal="center"/>
      <protection/>
    </xf>
    <xf numFmtId="1" fontId="0" fillId="6" borderId="3" xfId="0" applyNumberFormat="1" applyFill="1" applyBorder="1" applyAlignment="1" applyProtection="1">
      <alignment horizontal="center"/>
      <protection/>
    </xf>
    <xf numFmtId="1" fontId="0" fillId="6" borderId="4" xfId="0" applyNumberFormat="1" applyFill="1" applyBorder="1" applyAlignment="1" applyProtection="1">
      <alignment horizontal="center"/>
      <protection/>
    </xf>
    <xf numFmtId="1" fontId="0" fillId="6" borderId="5" xfId="0" applyNumberFormat="1" applyFill="1" applyBorder="1" applyAlignment="1" applyProtection="1">
      <alignment horizontal="center"/>
      <protection/>
    </xf>
    <xf numFmtId="1" fontId="1" fillId="6" borderId="6" xfId="0" applyNumberFormat="1" applyFont="1" applyFill="1" applyBorder="1" applyAlignment="1" applyProtection="1">
      <alignment horizontal="center"/>
      <protection/>
    </xf>
    <xf numFmtId="1" fontId="0" fillId="6" borderId="47" xfId="0" applyNumberFormat="1" applyFill="1" applyBorder="1" applyAlignment="1" applyProtection="1">
      <alignment horizontal="center"/>
      <protection/>
    </xf>
    <xf numFmtId="1" fontId="0" fillId="6" borderId="9" xfId="0" applyNumberFormat="1" applyFill="1" applyBorder="1" applyAlignment="1" applyProtection="1">
      <alignment horizontal="center"/>
      <protection/>
    </xf>
    <xf numFmtId="1" fontId="0" fillId="6" borderId="10" xfId="0" applyNumberFormat="1" applyFill="1" applyBorder="1" applyAlignment="1" applyProtection="1">
      <alignment horizontal="center"/>
      <protection/>
    </xf>
    <xf numFmtId="1" fontId="1" fillId="2" borderId="1" xfId="0" applyNumberFormat="1" applyFont="1" applyFill="1" applyBorder="1" applyAlignment="1" applyProtection="1">
      <alignment horizontal="center"/>
      <protection locked="0"/>
    </xf>
    <xf numFmtId="1" fontId="0" fillId="2" borderId="47" xfId="0" applyNumberFormat="1" applyFill="1" applyBorder="1" applyAlignment="1" applyProtection="1">
      <alignment horizontal="center"/>
      <protection locked="0"/>
    </xf>
    <xf numFmtId="1" fontId="1" fillId="8" borderId="2" xfId="0" applyNumberFormat="1" applyFont="1" applyFill="1" applyBorder="1" applyAlignment="1" applyProtection="1">
      <alignment horizontal="center"/>
      <protection/>
    </xf>
    <xf numFmtId="0" fontId="0" fillId="0" borderId="84" xfId="0" applyBorder="1" applyAlignment="1" applyProtection="1">
      <alignment horizontal="left" wrapText="1" indent="2"/>
      <protection/>
    </xf>
    <xf numFmtId="0" fontId="0" fillId="0" borderId="20" xfId="0" applyBorder="1" applyAlignment="1" applyProtection="1">
      <alignment horizontal="center"/>
      <protection/>
    </xf>
    <xf numFmtId="1" fontId="1" fillId="5" borderId="20" xfId="0" applyNumberFormat="1" applyFont="1" applyFill="1" applyBorder="1" applyAlignment="1" applyProtection="1">
      <alignment horizontal="center"/>
      <protection/>
    </xf>
    <xf numFmtId="1" fontId="1" fillId="3" borderId="85" xfId="0" applyNumberFormat="1" applyFont="1" applyFill="1" applyBorder="1" applyAlignment="1" applyProtection="1">
      <alignment horizontal="center"/>
      <protection/>
    </xf>
    <xf numFmtId="1" fontId="0" fillId="20" borderId="20" xfId="0" applyNumberFormat="1" applyFill="1" applyBorder="1" applyAlignment="1" applyProtection="1">
      <alignment horizontal="center"/>
      <protection locked="0"/>
    </xf>
    <xf numFmtId="166" fontId="0" fillId="20" borderId="20" xfId="0" applyNumberFormat="1" applyFill="1" applyBorder="1" applyAlignment="1" applyProtection="1">
      <alignment horizontal="center"/>
      <protection locked="0"/>
    </xf>
    <xf numFmtId="0" fontId="0" fillId="20" borderId="20" xfId="0" applyFill="1" applyBorder="1" applyAlignment="1" applyProtection="1">
      <alignment horizontal="center"/>
      <protection locked="0"/>
    </xf>
    <xf numFmtId="0" fontId="0" fillId="20" borderId="46" xfId="0" applyFill="1" applyBorder="1" applyAlignment="1" applyProtection="1">
      <alignment/>
      <protection locked="0"/>
    </xf>
    <xf numFmtId="44" fontId="31" fillId="16" borderId="86" xfId="17" applyFont="1" applyFill="1" applyBorder="1" applyAlignment="1" applyProtection="1">
      <alignment horizontal="center"/>
      <protection locked="0"/>
    </xf>
    <xf numFmtId="44" fontId="31" fillId="16" borderId="28" xfId="17" applyFont="1" applyFill="1" applyBorder="1" applyAlignment="1" applyProtection="1">
      <alignment horizontal="center"/>
      <protection locked="0"/>
    </xf>
    <xf numFmtId="44" fontId="31" fillId="16" borderId="87" xfId="17" applyFont="1" applyFill="1" applyBorder="1" applyAlignment="1" applyProtection="1">
      <alignment/>
      <protection locked="0"/>
    </xf>
    <xf numFmtId="44" fontId="0" fillId="16" borderId="88" xfId="17" applyFill="1" applyBorder="1" applyAlignment="1" applyProtection="1">
      <alignment horizontal="center"/>
      <protection/>
    </xf>
    <xf numFmtId="0" fontId="0" fillId="18" borderId="0" xfId="0" applyFill="1" applyAlignment="1" applyProtection="1">
      <alignment/>
      <protection/>
    </xf>
    <xf numFmtId="0" fontId="0" fillId="18" borderId="0" xfId="0" applyFill="1" applyBorder="1" applyAlignment="1" applyProtection="1">
      <alignment/>
      <protection/>
    </xf>
    <xf numFmtId="0" fontId="1" fillId="0" borderId="89" xfId="0" applyFont="1" applyFill="1" applyBorder="1" applyAlignment="1" applyProtection="1">
      <alignment horizontal="center"/>
      <protection/>
    </xf>
    <xf numFmtId="0" fontId="0" fillId="11" borderId="90" xfId="0" applyFill="1" applyBorder="1" applyAlignment="1" applyProtection="1">
      <alignment/>
      <protection/>
    </xf>
    <xf numFmtId="0" fontId="0" fillId="10" borderId="37" xfId="0" applyFill="1" applyBorder="1" applyAlignment="1" applyProtection="1">
      <alignment/>
      <protection/>
    </xf>
    <xf numFmtId="0" fontId="0" fillId="18" borderId="91" xfId="0" applyFill="1" applyBorder="1" applyAlignment="1" applyProtection="1">
      <alignment/>
      <protection/>
    </xf>
    <xf numFmtId="0" fontId="0" fillId="11" borderId="19" xfId="0" applyFill="1" applyBorder="1" applyAlignment="1" applyProtection="1">
      <alignment/>
      <protection/>
    </xf>
    <xf numFmtId="0" fontId="0" fillId="2" borderId="92" xfId="0" applyFill="1" applyBorder="1" applyAlignment="1" applyProtection="1">
      <alignment/>
      <protection locked="0"/>
    </xf>
    <xf numFmtId="0" fontId="0" fillId="2" borderId="93" xfId="0" applyFill="1" applyBorder="1" applyAlignment="1" applyProtection="1">
      <alignment/>
      <protection locked="0"/>
    </xf>
    <xf numFmtId="0" fontId="0" fillId="2" borderId="94" xfId="0" applyFill="1" applyBorder="1" applyAlignment="1" applyProtection="1">
      <alignment/>
      <protection locked="0"/>
    </xf>
    <xf numFmtId="0" fontId="0" fillId="2" borderId="95" xfId="0" applyFill="1" applyBorder="1" applyAlignment="1" applyProtection="1">
      <alignment/>
      <protection locked="0"/>
    </xf>
    <xf numFmtId="0" fontId="0" fillId="2" borderId="0" xfId="0" applyFill="1" applyAlignment="1" applyProtection="1">
      <alignment/>
      <protection/>
    </xf>
    <xf numFmtId="1" fontId="1" fillId="3" borderId="96" xfId="0" applyNumberFormat="1" applyFont="1" applyFill="1" applyBorder="1" applyAlignment="1" applyProtection="1">
      <alignment horizontal="center"/>
      <protection/>
    </xf>
    <xf numFmtId="0" fontId="21" fillId="11" borderId="41" xfId="0" applyFont="1" applyFill="1" applyBorder="1" applyAlignment="1" applyProtection="1">
      <alignment horizontal="left" wrapText="1" indent="3"/>
      <protection/>
    </xf>
    <xf numFmtId="0" fontId="18" fillId="11" borderId="97" xfId="0" applyFont="1" applyFill="1" applyBorder="1" applyAlignment="1" applyProtection="1">
      <alignment horizontal="left" wrapText="1" indent="3"/>
      <protection/>
    </xf>
    <xf numFmtId="0" fontId="21" fillId="11" borderId="41" xfId="0" applyFont="1" applyFill="1" applyBorder="1" applyAlignment="1" applyProtection="1">
      <alignment horizontal="left" wrapText="1" indent="3"/>
      <protection/>
    </xf>
    <xf numFmtId="0" fontId="19" fillId="10" borderId="98" xfId="0" applyFont="1" applyFill="1" applyBorder="1" applyAlignment="1" applyProtection="1">
      <alignment horizontal="center"/>
      <protection/>
    </xf>
    <xf numFmtId="0" fontId="20" fillId="10" borderId="40" xfId="0" applyFont="1" applyFill="1" applyBorder="1" applyAlignment="1" applyProtection="1">
      <alignment horizontal="center"/>
      <protection/>
    </xf>
    <xf numFmtId="0" fontId="18" fillId="11" borderId="41" xfId="0" applyFont="1" applyFill="1" applyBorder="1" applyAlignment="1" applyProtection="1">
      <alignment horizontal="left" wrapText="1" indent="3"/>
      <protection/>
    </xf>
    <xf numFmtId="0" fontId="21" fillId="11" borderId="42" xfId="0" applyFont="1" applyFill="1" applyBorder="1" applyAlignment="1" applyProtection="1">
      <alignment horizontal="left" wrapText="1" indent="3"/>
      <protection/>
    </xf>
    <xf numFmtId="0" fontId="18" fillId="12" borderId="97" xfId="0" applyFont="1" applyFill="1" applyBorder="1" applyAlignment="1" applyProtection="1">
      <alignment horizontal="left" wrapText="1" indent="3"/>
      <protection/>
    </xf>
    <xf numFmtId="0" fontId="21" fillId="12" borderId="41" xfId="0" applyFont="1" applyFill="1" applyBorder="1" applyAlignment="1" applyProtection="1">
      <alignment horizontal="left" wrapText="1" indent="3"/>
      <protection/>
    </xf>
    <xf numFmtId="0" fontId="19" fillId="10" borderId="99" xfId="0" applyFont="1" applyFill="1" applyBorder="1" applyAlignment="1" applyProtection="1">
      <alignment horizontal="center"/>
      <protection/>
    </xf>
    <xf numFmtId="0" fontId="19" fillId="10" borderId="65" xfId="0" applyFont="1" applyFill="1" applyBorder="1" applyAlignment="1" applyProtection="1">
      <alignment horizontal="center"/>
      <protection/>
    </xf>
    <xf numFmtId="0" fontId="19" fillId="10" borderId="76" xfId="0" applyFont="1" applyFill="1" applyBorder="1" applyAlignment="1" applyProtection="1">
      <alignment horizontal="center"/>
      <protection/>
    </xf>
    <xf numFmtId="1" fontId="1" fillId="3" borderId="9" xfId="0" applyNumberFormat="1" applyFont="1" applyFill="1" applyBorder="1" applyAlignment="1" applyProtection="1">
      <alignment horizontal="center"/>
      <protection/>
    </xf>
    <xf numFmtId="1" fontId="1" fillId="3" borderId="10" xfId="0" applyNumberFormat="1" applyFont="1" applyFill="1" applyBorder="1" applyAlignment="1" applyProtection="1">
      <alignment horizontal="center"/>
      <protection/>
    </xf>
    <xf numFmtId="1" fontId="1" fillId="3" borderId="32" xfId="0" applyNumberFormat="1" applyFont="1" applyFill="1" applyBorder="1" applyAlignment="1" applyProtection="1">
      <alignment horizontal="center"/>
      <protection/>
    </xf>
    <xf numFmtId="1" fontId="1" fillId="3" borderId="12" xfId="0" applyNumberFormat="1" applyFont="1" applyFill="1" applyBorder="1" applyAlignment="1" applyProtection="1">
      <alignment horizontal="center"/>
      <protection/>
    </xf>
    <xf numFmtId="1" fontId="1" fillId="3" borderId="0" xfId="0" applyNumberFormat="1" applyFont="1" applyFill="1" applyBorder="1" applyAlignment="1" applyProtection="1">
      <alignment horizontal="center"/>
      <protection/>
    </xf>
    <xf numFmtId="1" fontId="1" fillId="3" borderId="33" xfId="0" applyNumberFormat="1" applyFont="1" applyFill="1" applyBorder="1" applyAlignment="1" applyProtection="1">
      <alignment horizontal="center"/>
      <protection/>
    </xf>
    <xf numFmtId="1" fontId="1" fillId="3" borderId="96" xfId="0" applyNumberFormat="1" applyFont="1" applyFill="1" applyBorder="1" applyAlignment="1" applyProtection="1">
      <alignment horizontal="center"/>
      <protection/>
    </xf>
    <xf numFmtId="1" fontId="1" fillId="3" borderId="100" xfId="0" applyNumberFormat="1" applyFont="1" applyFill="1" applyBorder="1" applyAlignment="1" applyProtection="1">
      <alignment horizontal="center"/>
      <protection/>
    </xf>
    <xf numFmtId="1" fontId="1" fillId="3" borderId="101" xfId="0" applyNumberFormat="1" applyFont="1" applyFill="1" applyBorder="1" applyAlignment="1" applyProtection="1">
      <alignment horizontal="center"/>
      <protection/>
    </xf>
    <xf numFmtId="44" fontId="1" fillId="16" borderId="12" xfId="17" applyFont="1" applyFill="1" applyBorder="1" applyAlignment="1" applyProtection="1">
      <alignment horizontal="center"/>
      <protection/>
    </xf>
    <xf numFmtId="44" fontId="1" fillId="17" borderId="48" xfId="17" applyFont="1" applyFill="1" applyBorder="1" applyAlignment="1" applyProtection="1">
      <alignment horizontal="center"/>
      <protection/>
    </xf>
    <xf numFmtId="44" fontId="1" fillId="16" borderId="9" xfId="17" applyFont="1" applyFill="1" applyBorder="1" applyAlignment="1" applyProtection="1">
      <alignment horizontal="center"/>
      <protection/>
    </xf>
    <xf numFmtId="44" fontId="1" fillId="16" borderId="69" xfId="17" applyFont="1" applyFill="1" applyBorder="1" applyAlignment="1" applyProtection="1">
      <alignment horizontal="center"/>
      <protection/>
    </xf>
    <xf numFmtId="44" fontId="1" fillId="8" borderId="67" xfId="17" applyFont="1" applyFill="1" applyBorder="1" applyAlignment="1" applyProtection="1">
      <alignment horizontal="center"/>
      <protection/>
    </xf>
    <xf numFmtId="0" fontId="19" fillId="10" borderId="102" xfId="0" applyFont="1" applyFill="1" applyBorder="1" applyAlignment="1" applyProtection="1">
      <alignment horizontal="center"/>
      <protection/>
    </xf>
    <xf numFmtId="0" fontId="19" fillId="10" borderId="103" xfId="0" applyFont="1" applyFill="1" applyBorder="1" applyAlignment="1" applyProtection="1">
      <alignment horizontal="center"/>
      <protection/>
    </xf>
    <xf numFmtId="0" fontId="19" fillId="10" borderId="104" xfId="0" applyFont="1" applyFill="1" applyBorder="1" applyAlignment="1" applyProtection="1">
      <alignment horizontal="center"/>
      <protection/>
    </xf>
    <xf numFmtId="0" fontId="0" fillId="21" borderId="105" xfId="0" applyFill="1" applyBorder="1" applyAlignment="1" applyProtection="1">
      <alignment/>
      <protection/>
    </xf>
    <xf numFmtId="0" fontId="1" fillId="0" borderId="106" xfId="0" applyFont="1" applyBorder="1" applyAlignment="1" applyProtection="1">
      <alignment/>
      <protection/>
    </xf>
    <xf numFmtId="0" fontId="1" fillId="0" borderId="7" xfId="0" applyFont="1" applyBorder="1" applyAlignment="1" applyProtection="1">
      <alignment/>
      <protection/>
    </xf>
    <xf numFmtId="0" fontId="1" fillId="0" borderId="7" xfId="0" applyFont="1" applyBorder="1" applyAlignment="1" applyProtection="1">
      <alignment horizontal="center" wrapText="1"/>
      <protection/>
    </xf>
    <xf numFmtId="0" fontId="1" fillId="0" borderId="62" xfId="0" applyFont="1" applyBorder="1" applyAlignment="1" applyProtection="1">
      <alignment/>
      <protection/>
    </xf>
    <xf numFmtId="0" fontId="0" fillId="21" borderId="107" xfId="0" applyFont="1" applyFill="1" applyBorder="1" applyAlignment="1" applyProtection="1">
      <alignment/>
      <protection/>
    </xf>
    <xf numFmtId="0" fontId="0" fillId="0" borderId="8" xfId="0" applyBorder="1" applyAlignment="1" applyProtection="1">
      <alignment/>
      <protection/>
    </xf>
    <xf numFmtId="41" fontId="0" fillId="0" borderId="46" xfId="0" applyNumberFormat="1" applyBorder="1" applyAlignment="1" applyProtection="1">
      <alignment/>
      <protection/>
    </xf>
    <xf numFmtId="0" fontId="0" fillId="0" borderId="38" xfId="0" applyBorder="1" applyAlignment="1" applyProtection="1">
      <alignment/>
      <protection/>
    </xf>
    <xf numFmtId="41" fontId="0" fillId="0" borderId="19" xfId="0" applyNumberFormat="1" applyBorder="1" applyAlignment="1" applyProtection="1">
      <alignment/>
      <protection/>
    </xf>
    <xf numFmtId="0" fontId="0" fillId="21" borderId="107" xfId="0" applyFill="1" applyBorder="1" applyAlignment="1" applyProtection="1">
      <alignment/>
      <protection/>
    </xf>
    <xf numFmtId="0" fontId="0" fillId="21" borderId="108" xfId="0" applyFill="1" applyBorder="1" applyAlignment="1" applyProtection="1">
      <alignment/>
      <protection/>
    </xf>
    <xf numFmtId="0" fontId="0" fillId="0" borderId="106" xfId="0" applyBorder="1" applyAlignment="1" applyProtection="1">
      <alignment/>
      <protection/>
    </xf>
    <xf numFmtId="41" fontId="0" fillId="0" borderId="62" xfId="0" applyNumberFormat="1" applyBorder="1" applyAlignment="1" applyProtection="1">
      <alignment/>
      <protection/>
    </xf>
    <xf numFmtId="0" fontId="4" fillId="13" borderId="109" xfId="0" applyFont="1" applyFill="1" applyBorder="1" applyAlignment="1" applyProtection="1">
      <alignment/>
      <protection/>
    </xf>
    <xf numFmtId="0" fontId="4" fillId="13" borderId="20" xfId="0" applyFont="1" applyFill="1" applyBorder="1" applyAlignment="1" applyProtection="1">
      <alignment/>
      <protection/>
    </xf>
    <xf numFmtId="0" fontId="4" fillId="13" borderId="46" xfId="0" applyFont="1" applyFill="1" applyBorder="1" applyAlignment="1" applyProtection="1">
      <alignment/>
      <protection/>
    </xf>
    <xf numFmtId="0" fontId="18" fillId="22" borderId="54" xfId="0" applyFont="1" applyFill="1" applyBorder="1" applyAlignment="1" applyProtection="1">
      <alignment/>
      <protection/>
    </xf>
    <xf numFmtId="0" fontId="18" fillId="22" borderId="14" xfId="0" applyFont="1" applyFill="1" applyBorder="1" applyAlignment="1" applyProtection="1">
      <alignment/>
      <protection/>
    </xf>
    <xf numFmtId="0" fontId="18" fillId="22" borderId="110" xfId="0" applyFont="1" applyFill="1" applyBorder="1" applyAlignment="1" applyProtection="1">
      <alignment/>
      <protection/>
    </xf>
    <xf numFmtId="0" fontId="11" fillId="18" borderId="0" xfId="21" applyFill="1" applyProtection="1">
      <alignment/>
      <protection/>
    </xf>
    <xf numFmtId="1" fontId="10" fillId="0" borderId="111" xfId="21" applyNumberFormat="1" applyFont="1" applyBorder="1" applyAlignment="1" applyProtection="1">
      <alignment horizontal="center"/>
      <protection/>
    </xf>
    <xf numFmtId="0" fontId="0" fillId="0" borderId="112" xfId="0" applyBorder="1" applyAlignment="1" applyProtection="1">
      <alignment/>
      <protection/>
    </xf>
    <xf numFmtId="0" fontId="0" fillId="0" borderId="113" xfId="0" applyBorder="1" applyAlignment="1" applyProtection="1">
      <alignment/>
      <protection/>
    </xf>
    <xf numFmtId="0" fontId="1" fillId="0" borderId="114" xfId="0" applyFont="1" applyBorder="1" applyAlignment="1" applyProtection="1">
      <alignment/>
      <protection/>
    </xf>
    <xf numFmtId="0" fontId="2" fillId="0" borderId="115" xfId="20" applyBorder="1" applyAlignment="1" applyProtection="1">
      <alignment horizontal="center" wrapText="1"/>
      <protection/>
    </xf>
    <xf numFmtId="0" fontId="0" fillId="0" borderId="7" xfId="0" applyBorder="1" applyAlignment="1" applyProtection="1">
      <alignment horizontal="center" wrapText="1"/>
      <protection/>
    </xf>
    <xf numFmtId="0" fontId="2" fillId="0" borderId="7" xfId="20" applyBorder="1" applyAlignment="1" applyProtection="1">
      <alignment wrapText="1"/>
      <protection/>
    </xf>
    <xf numFmtId="0" fontId="0" fillId="0" borderId="61" xfId="0" applyBorder="1" applyAlignment="1" applyProtection="1">
      <alignment horizontal="center"/>
      <protection/>
    </xf>
    <xf numFmtId="0" fontId="0" fillId="0" borderId="116" xfId="0" applyBorder="1" applyAlignment="1" applyProtection="1">
      <alignment/>
      <protection/>
    </xf>
    <xf numFmtId="0" fontId="0" fillId="0" borderId="20" xfId="0" applyBorder="1" applyAlignment="1" applyProtection="1">
      <alignment/>
      <protection/>
    </xf>
    <xf numFmtId="0" fontId="0" fillId="0" borderId="107" xfId="0" applyBorder="1" applyAlignment="1" applyProtection="1">
      <alignment/>
      <protection/>
    </xf>
    <xf numFmtId="0" fontId="0" fillId="0" borderId="4" xfId="0" applyBorder="1" applyAlignment="1" applyProtection="1">
      <alignment horizontal="center"/>
      <protection/>
    </xf>
    <xf numFmtId="0" fontId="0" fillId="0" borderId="1" xfId="0" applyBorder="1" applyAlignment="1" applyProtection="1">
      <alignment/>
      <protection/>
    </xf>
    <xf numFmtId="0" fontId="0" fillId="0" borderId="117" xfId="0" applyBorder="1" applyAlignment="1" applyProtection="1">
      <alignment/>
      <protection/>
    </xf>
    <xf numFmtId="0" fontId="0" fillId="0" borderId="115" xfId="0" applyBorder="1" applyAlignment="1" applyProtection="1">
      <alignment horizontal="center"/>
      <protection/>
    </xf>
    <xf numFmtId="0" fontId="0" fillId="0" borderId="7" xfId="0" applyBorder="1" applyAlignment="1" applyProtection="1">
      <alignment/>
      <protection/>
    </xf>
    <xf numFmtId="0" fontId="0" fillId="2" borderId="118" xfId="0" applyFill="1" applyBorder="1" applyAlignment="1" applyProtection="1">
      <alignment wrapText="1"/>
      <protection locked="0"/>
    </xf>
    <xf numFmtId="0" fontId="0" fillId="2" borderId="119" xfId="0" applyFill="1" applyBorder="1" applyAlignment="1" applyProtection="1">
      <alignment wrapText="1"/>
      <protection locked="0"/>
    </xf>
    <xf numFmtId="0" fontId="0" fillId="2" borderId="120" xfId="0" applyFill="1" applyBorder="1" applyAlignment="1" applyProtection="1">
      <alignment wrapText="1"/>
      <protection locked="0"/>
    </xf>
    <xf numFmtId="0" fontId="0" fillId="2" borderId="16" xfId="0" applyFill="1" applyBorder="1" applyAlignment="1" applyProtection="1">
      <alignment wrapText="1"/>
      <protection locked="0"/>
    </xf>
    <xf numFmtId="0" fontId="0" fillId="2" borderId="121" xfId="0" applyFill="1" applyBorder="1" applyAlignment="1" applyProtection="1">
      <alignment wrapText="1"/>
      <protection locked="0"/>
    </xf>
    <xf numFmtId="0" fontId="0" fillId="2" borderId="18" xfId="0" applyFill="1" applyBorder="1" applyAlignment="1" applyProtection="1">
      <alignment wrapText="1"/>
      <protection locked="0"/>
    </xf>
    <xf numFmtId="0" fontId="26" fillId="11" borderId="98" xfId="0" applyFont="1" applyFill="1" applyBorder="1" applyAlignment="1" applyProtection="1">
      <alignment horizontal="center"/>
      <protection/>
    </xf>
    <xf numFmtId="0" fontId="26" fillId="11" borderId="40" xfId="0" applyFont="1" applyFill="1" applyBorder="1" applyAlignment="1" applyProtection="1">
      <alignment horizontal="center"/>
      <protection/>
    </xf>
    <xf numFmtId="0" fontId="26" fillId="11" borderId="37" xfId="0" applyFont="1" applyFill="1" applyBorder="1" applyAlignment="1" applyProtection="1">
      <alignment horizontal="center"/>
      <protection/>
    </xf>
    <xf numFmtId="0" fontId="5" fillId="0" borderId="109" xfId="0" applyFont="1" applyBorder="1" applyAlignment="1" applyProtection="1">
      <alignment horizontal="center" wrapText="1"/>
      <protection/>
    </xf>
    <xf numFmtId="0" fontId="1" fillId="0" borderId="59" xfId="0" applyFont="1" applyBorder="1" applyAlignment="1" applyProtection="1">
      <alignment horizontal="center" wrapText="1"/>
      <protection/>
    </xf>
    <xf numFmtId="1" fontId="1" fillId="0" borderId="85" xfId="0" applyNumberFormat="1" applyFont="1" applyBorder="1" applyAlignment="1" applyProtection="1">
      <alignment horizontal="center" wrapText="1"/>
      <protection/>
    </xf>
    <xf numFmtId="0" fontId="1" fillId="0" borderId="122" xfId="0" applyFont="1" applyBorder="1" applyAlignment="1" applyProtection="1">
      <alignment horizontal="center" wrapText="1"/>
      <protection/>
    </xf>
    <xf numFmtId="0" fontId="13" fillId="0" borderId="85" xfId="0" applyFont="1" applyBorder="1" applyAlignment="1" applyProtection="1">
      <alignment horizontal="center" wrapText="1"/>
      <protection/>
    </xf>
    <xf numFmtId="1" fontId="13" fillId="0" borderId="123" xfId="0" applyNumberFormat="1" applyFont="1" applyBorder="1" applyAlignment="1" applyProtection="1">
      <alignment horizontal="center" wrapText="1"/>
      <protection/>
    </xf>
    <xf numFmtId="1" fontId="13" fillId="0" borderId="59" xfId="0" applyNumberFormat="1" applyFont="1" applyBorder="1" applyAlignment="1" applyProtection="1">
      <alignment horizontal="center" wrapText="1"/>
      <protection/>
    </xf>
    <xf numFmtId="1" fontId="13" fillId="0" borderId="85" xfId="0" applyNumberFormat="1" applyFont="1" applyBorder="1" applyAlignment="1" applyProtection="1">
      <alignment horizontal="center" wrapText="1"/>
      <protection/>
    </xf>
    <xf numFmtId="44" fontId="13" fillId="0" borderId="122" xfId="17" applyFont="1" applyBorder="1" applyAlignment="1" applyProtection="1">
      <alignment horizontal="center" wrapText="1"/>
      <protection/>
    </xf>
    <xf numFmtId="44" fontId="13" fillId="0" borderId="59" xfId="17" applyFont="1" applyBorder="1" applyAlignment="1" applyProtection="1">
      <alignment horizontal="center" wrapText="1"/>
      <protection/>
    </xf>
    <xf numFmtId="44" fontId="13" fillId="0" borderId="124" xfId="17" applyFont="1" applyBorder="1" applyAlignment="1" applyProtection="1">
      <alignment horizontal="center" wrapText="1"/>
      <protection/>
    </xf>
    <xf numFmtId="44" fontId="13" fillId="0" borderId="125" xfId="17" applyFont="1" applyBorder="1" applyAlignment="1" applyProtection="1">
      <alignment horizontal="center" wrapText="1"/>
      <protection/>
    </xf>
    <xf numFmtId="0" fontId="1" fillId="0" borderId="106" xfId="0" applyFont="1" applyBorder="1" applyAlignment="1" applyProtection="1">
      <alignment horizontal="center" wrapText="1"/>
      <protection/>
    </xf>
    <xf numFmtId="0" fontId="1" fillId="0" borderId="61" xfId="0" applyFont="1" applyBorder="1" applyAlignment="1" applyProtection="1">
      <alignment horizontal="center" wrapText="1"/>
      <protection/>
    </xf>
    <xf numFmtId="0" fontId="1" fillId="0" borderId="126" xfId="0" applyFont="1" applyBorder="1" applyAlignment="1" applyProtection="1">
      <alignment horizontal="center" wrapText="1"/>
      <protection/>
    </xf>
    <xf numFmtId="0" fontId="1" fillId="0" borderId="127" xfId="0" applyFont="1" applyBorder="1" applyAlignment="1" applyProtection="1">
      <alignment horizontal="center" wrapText="1"/>
      <protection/>
    </xf>
    <xf numFmtId="1" fontId="1" fillId="0" borderId="128" xfId="0" applyNumberFormat="1" applyFont="1" applyBorder="1" applyAlignment="1" applyProtection="1">
      <alignment horizontal="center" wrapText="1"/>
      <protection/>
    </xf>
    <xf numFmtId="0" fontId="9" fillId="0" borderId="128" xfId="0" applyFont="1" applyBorder="1" applyAlignment="1" applyProtection="1">
      <alignment horizontal="center" wrapText="1"/>
      <protection/>
    </xf>
    <xf numFmtId="0" fontId="9" fillId="0" borderId="129" xfId="0" applyFont="1" applyBorder="1" applyAlignment="1" applyProtection="1">
      <alignment horizontal="center" wrapText="1"/>
      <protection/>
    </xf>
    <xf numFmtId="0" fontId="9" fillId="0" borderId="127" xfId="0" applyFont="1" applyBorder="1" applyAlignment="1" applyProtection="1">
      <alignment horizontal="center" wrapText="1"/>
      <protection/>
    </xf>
    <xf numFmtId="0" fontId="0" fillId="0" borderId="126" xfId="0" applyBorder="1" applyAlignment="1" applyProtection="1">
      <alignment horizontal="center" wrapText="1"/>
      <protection/>
    </xf>
    <xf numFmtId="0" fontId="0" fillId="0" borderId="127" xfId="0" applyBorder="1" applyAlignment="1" applyProtection="1">
      <alignment horizontal="center" wrapText="1"/>
      <protection/>
    </xf>
    <xf numFmtId="0" fontId="0" fillId="0" borderId="74" xfId="0" applyBorder="1" applyAlignment="1" applyProtection="1">
      <alignment wrapText="1"/>
      <protection/>
    </xf>
    <xf numFmtId="0" fontId="0" fillId="0" borderId="130" xfId="0" applyBorder="1" applyAlignment="1" applyProtection="1">
      <alignment wrapText="1"/>
      <protection/>
    </xf>
    <xf numFmtId="0" fontId="1" fillId="0" borderId="8" xfId="0" applyFont="1" applyBorder="1" applyAlignment="1" applyProtection="1">
      <alignment/>
      <protection/>
    </xf>
    <xf numFmtId="0" fontId="0" fillId="13" borderId="3" xfId="0" applyFill="1" applyBorder="1" applyAlignment="1" applyProtection="1">
      <alignment horizontal="center"/>
      <protection/>
    </xf>
    <xf numFmtId="0" fontId="0" fillId="13" borderId="6" xfId="0" applyFill="1" applyBorder="1" applyAlignment="1" applyProtection="1">
      <alignment horizontal="center"/>
      <protection/>
    </xf>
    <xf numFmtId="1" fontId="0" fillId="9" borderId="43" xfId="0" applyNumberFormat="1" applyFont="1" applyFill="1" applyBorder="1" applyAlignment="1" applyProtection="1">
      <alignment horizontal="center"/>
      <protection/>
    </xf>
    <xf numFmtId="1" fontId="0" fillId="19" borderId="3" xfId="0" applyNumberFormat="1" applyFont="1" applyFill="1" applyBorder="1" applyAlignment="1" applyProtection="1">
      <alignment horizontal="center"/>
      <protection/>
    </xf>
    <xf numFmtId="166" fontId="1" fillId="6" borderId="31" xfId="0" applyNumberFormat="1" applyFont="1" applyFill="1" applyBorder="1" applyAlignment="1" applyProtection="1">
      <alignment horizontal="center"/>
      <protection/>
    </xf>
    <xf numFmtId="1" fontId="1" fillId="23" borderId="131" xfId="0" applyNumberFormat="1" applyFont="1" applyFill="1" applyBorder="1" applyAlignment="1" applyProtection="1">
      <alignment horizontal="center"/>
      <protection/>
    </xf>
    <xf numFmtId="44" fontId="0" fillId="24" borderId="30" xfId="17" applyFont="1" applyFill="1" applyBorder="1" applyAlignment="1" applyProtection="1">
      <alignment horizontal="left"/>
      <protection/>
    </xf>
    <xf numFmtId="1" fontId="0" fillId="24" borderId="132" xfId="0" applyNumberFormat="1" applyFill="1" applyBorder="1" applyAlignment="1" applyProtection="1">
      <alignment horizontal="center"/>
      <protection/>
    </xf>
    <xf numFmtId="44" fontId="1" fillId="25" borderId="3" xfId="17" applyFont="1" applyFill="1" applyBorder="1" applyAlignment="1" applyProtection="1">
      <alignment horizontal="center"/>
      <protection/>
    </xf>
    <xf numFmtId="44" fontId="0" fillId="24" borderId="30" xfId="17" applyFill="1" applyBorder="1" applyAlignment="1" applyProtection="1">
      <alignment horizontal="center"/>
      <protection/>
    </xf>
    <xf numFmtId="44" fontId="0" fillId="24" borderId="82" xfId="17" applyFill="1" applyBorder="1" applyAlignment="1" applyProtection="1">
      <alignment horizontal="center"/>
      <protection/>
    </xf>
    <xf numFmtId="0" fontId="1" fillId="0" borderId="38" xfId="0" applyFont="1" applyBorder="1" applyAlignment="1" applyProtection="1">
      <alignment/>
      <protection/>
    </xf>
    <xf numFmtId="0" fontId="0" fillId="13" borderId="4" xfId="0" applyFill="1" applyBorder="1" applyAlignment="1" applyProtection="1">
      <alignment horizontal="center"/>
      <protection/>
    </xf>
    <xf numFmtId="1" fontId="0" fillId="9" borderId="15" xfId="0" applyNumberFormat="1" applyFont="1" applyFill="1" applyBorder="1" applyAlignment="1" applyProtection="1">
      <alignment horizontal="center"/>
      <protection/>
    </xf>
    <xf numFmtId="1" fontId="0" fillId="19" borderId="4" xfId="0" applyNumberFormat="1" applyFont="1" applyFill="1" applyBorder="1" applyAlignment="1" applyProtection="1">
      <alignment horizontal="center"/>
      <protection/>
    </xf>
    <xf numFmtId="166" fontId="1" fillId="6" borderId="15" xfId="0" applyNumberFormat="1" applyFont="1" applyFill="1" applyBorder="1" applyAlignment="1" applyProtection="1">
      <alignment horizontal="center"/>
      <protection/>
    </xf>
    <xf numFmtId="1" fontId="1" fillId="7" borderId="4" xfId="0" applyNumberFormat="1" applyFont="1" applyFill="1" applyBorder="1" applyAlignment="1" applyProtection="1">
      <alignment horizontal="center"/>
      <protection/>
    </xf>
    <xf numFmtId="44" fontId="1" fillId="17" borderId="4" xfId="17" applyFont="1" applyFill="1" applyBorder="1" applyAlignment="1" applyProtection="1">
      <alignment horizontal="center"/>
      <protection/>
    </xf>
    <xf numFmtId="44" fontId="0" fillId="16" borderId="47" xfId="17" applyFont="1" applyFill="1" applyBorder="1" applyAlignment="1" applyProtection="1">
      <alignment horizontal="center"/>
      <protection/>
    </xf>
    <xf numFmtId="44" fontId="0" fillId="16" borderId="16" xfId="17" applyFont="1" applyFill="1" applyBorder="1" applyAlignment="1" applyProtection="1">
      <alignment horizontal="center"/>
      <protection/>
    </xf>
    <xf numFmtId="1" fontId="0" fillId="13" borderId="4" xfId="0" applyNumberFormat="1" applyFill="1" applyBorder="1" applyAlignment="1" applyProtection="1">
      <alignment horizontal="center"/>
      <protection/>
    </xf>
    <xf numFmtId="0" fontId="1" fillId="0" borderId="55" xfId="0" applyFont="1" applyBorder="1" applyAlignment="1" applyProtection="1">
      <alignment/>
      <protection/>
    </xf>
    <xf numFmtId="1" fontId="0" fillId="13" borderId="133" xfId="0" applyNumberFormat="1" applyFill="1" applyBorder="1" applyAlignment="1" applyProtection="1">
      <alignment horizontal="center"/>
      <protection/>
    </xf>
    <xf numFmtId="0" fontId="0" fillId="13" borderId="2" xfId="0" applyFill="1" applyBorder="1" applyAlignment="1" applyProtection="1">
      <alignment horizontal="center"/>
      <protection/>
    </xf>
    <xf numFmtId="0" fontId="1" fillId="0" borderId="106" xfId="0" applyFont="1" applyBorder="1" applyAlignment="1" applyProtection="1">
      <alignment wrapText="1"/>
      <protection/>
    </xf>
    <xf numFmtId="1" fontId="0" fillId="13" borderId="115" xfId="0" applyNumberFormat="1" applyFill="1" applyBorder="1" applyAlignment="1" applyProtection="1">
      <alignment horizontal="center"/>
      <protection/>
    </xf>
    <xf numFmtId="0" fontId="0" fillId="13" borderId="7" xfId="0" applyFill="1" applyBorder="1" applyAlignment="1" applyProtection="1">
      <alignment horizontal="center"/>
      <protection/>
    </xf>
    <xf numFmtId="1" fontId="0" fillId="9" borderId="128" xfId="0" applyNumberFormat="1" applyFont="1" applyFill="1" applyBorder="1" applyAlignment="1" applyProtection="1">
      <alignment horizontal="center"/>
      <protection/>
    </xf>
    <xf numFmtId="1" fontId="0" fillId="19" borderId="126" xfId="0" applyNumberFormat="1" applyFont="1" applyFill="1" applyBorder="1" applyAlignment="1" applyProtection="1">
      <alignment horizontal="center"/>
      <protection/>
    </xf>
    <xf numFmtId="166" fontId="1" fillId="6" borderId="128" xfId="0" applyNumberFormat="1" applyFont="1" applyFill="1" applyBorder="1" applyAlignment="1" applyProtection="1">
      <alignment horizontal="center"/>
      <protection/>
    </xf>
    <xf numFmtId="1" fontId="1" fillId="7" borderId="126" xfId="0" applyNumberFormat="1" applyFont="1" applyFill="1" applyBorder="1" applyAlignment="1" applyProtection="1">
      <alignment horizontal="center"/>
      <protection/>
    </xf>
    <xf numFmtId="1" fontId="0" fillId="4" borderId="127" xfId="0" applyNumberFormat="1" applyFill="1" applyBorder="1" applyAlignment="1" applyProtection="1">
      <alignment horizontal="center"/>
      <protection/>
    </xf>
    <xf numFmtId="1" fontId="0" fillId="4" borderId="128" xfId="0" applyNumberFormat="1" applyFill="1" applyBorder="1" applyAlignment="1" applyProtection="1">
      <alignment horizontal="center"/>
      <protection/>
    </xf>
    <xf numFmtId="44" fontId="13" fillId="0" borderId="134" xfId="17" applyFont="1" applyBorder="1" applyAlignment="1" applyProtection="1">
      <alignment horizontal="center" wrapText="1"/>
      <protection/>
    </xf>
    <xf numFmtId="0" fontId="12" fillId="0" borderId="135" xfId="0" applyFont="1" applyBorder="1" applyAlignment="1" applyProtection="1">
      <alignment horizontal="center" wrapText="1"/>
      <protection/>
    </xf>
    <xf numFmtId="0" fontId="0" fillId="0" borderId="136" xfId="0" applyBorder="1" applyAlignment="1" applyProtection="1">
      <alignment horizontal="center" wrapText="1"/>
      <protection/>
    </xf>
    <xf numFmtId="0" fontId="0" fillId="0" borderId="131" xfId="0" applyBorder="1" applyAlignment="1" applyProtection="1">
      <alignment horizontal="center"/>
      <protection/>
    </xf>
    <xf numFmtId="0" fontId="0" fillId="0" borderId="46" xfId="0" applyBorder="1" applyAlignment="1" applyProtection="1">
      <alignment horizontal="center"/>
      <protection/>
    </xf>
    <xf numFmtId="0" fontId="0" fillId="0" borderId="137" xfId="0" applyBorder="1" applyAlignment="1" applyProtection="1">
      <alignment horizontal="center" wrapText="1"/>
      <protection/>
    </xf>
    <xf numFmtId="0" fontId="0" fillId="0" borderId="99" xfId="0" applyBorder="1" applyAlignment="1" applyProtection="1">
      <alignment horizontal="center" wrapText="1"/>
      <protection/>
    </xf>
    <xf numFmtId="0" fontId="0" fillId="0" borderId="75" xfId="0" applyBorder="1" applyAlignment="1" applyProtection="1">
      <alignment horizontal="center" wrapText="1"/>
      <protection/>
    </xf>
    <xf numFmtId="0" fontId="0" fillId="0" borderId="115" xfId="0" applyBorder="1" applyAlignment="1" applyProtection="1">
      <alignment horizontal="center" wrapText="1"/>
      <protection/>
    </xf>
    <xf numFmtId="0" fontId="2" fillId="0" borderId="7" xfId="20" applyBorder="1" applyAlignment="1" applyProtection="1">
      <alignment horizontal="center" wrapText="1"/>
      <protection/>
    </xf>
    <xf numFmtId="0" fontId="0" fillId="26" borderId="7" xfId="0" applyFill="1" applyBorder="1" applyAlignment="1" applyProtection="1">
      <alignment horizontal="center" wrapText="1"/>
      <protection/>
    </xf>
    <xf numFmtId="0" fontId="9" fillId="26" borderId="62" xfId="0" applyFont="1" applyFill="1" applyBorder="1" applyAlignment="1" applyProtection="1">
      <alignment horizontal="center" wrapText="1"/>
      <protection/>
    </xf>
    <xf numFmtId="0" fontId="0" fillId="18" borderId="0" xfId="0" applyFill="1" applyBorder="1" applyAlignment="1" applyProtection="1">
      <alignment horizontal="center" wrapText="1"/>
      <protection/>
    </xf>
    <xf numFmtId="0" fontId="1" fillId="17" borderId="138" xfId="0" applyFont="1" applyFill="1" applyBorder="1" applyAlignment="1" applyProtection="1">
      <alignment horizontal="center" wrapText="1"/>
      <protection/>
    </xf>
    <xf numFmtId="44" fontId="1" fillId="17" borderId="139" xfId="0" applyNumberFormat="1" applyFont="1" applyFill="1" applyBorder="1" applyAlignment="1" applyProtection="1">
      <alignment/>
      <protection/>
    </xf>
    <xf numFmtId="44" fontId="1" fillId="16" borderId="140" xfId="0" applyNumberFormat="1" applyFont="1" applyFill="1" applyBorder="1" applyAlignment="1" applyProtection="1">
      <alignment/>
      <protection/>
    </xf>
    <xf numFmtId="44" fontId="1" fillId="16" borderId="141" xfId="0" applyNumberFormat="1" applyFont="1" applyFill="1" applyBorder="1" applyAlignment="1" applyProtection="1">
      <alignment/>
      <protection/>
    </xf>
    <xf numFmtId="44" fontId="1" fillId="16" borderId="142" xfId="0" applyNumberFormat="1" applyFont="1" applyFill="1" applyBorder="1" applyAlignment="1" applyProtection="1">
      <alignment/>
      <protection/>
    </xf>
    <xf numFmtId="0" fontId="1" fillId="0" borderId="109" xfId="0" applyFont="1" applyBorder="1" applyAlignment="1" applyProtection="1">
      <alignment horizontal="center" wrapText="1"/>
      <protection/>
    </xf>
    <xf numFmtId="0" fontId="1" fillId="0" borderId="43" xfId="0" applyFont="1" applyBorder="1" applyAlignment="1" applyProtection="1">
      <alignment horizontal="center" wrapText="1"/>
      <protection/>
    </xf>
    <xf numFmtId="0" fontId="1" fillId="0" borderId="3"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0" fillId="0" borderId="15" xfId="0" applyBorder="1" applyAlignment="1" applyProtection="1">
      <alignment horizontal="center"/>
      <protection/>
    </xf>
    <xf numFmtId="0" fontId="0" fillId="0" borderId="55" xfId="0" applyBorder="1" applyAlignment="1" applyProtection="1">
      <alignment/>
      <protection/>
    </xf>
    <xf numFmtId="0" fontId="0" fillId="0" borderId="63" xfId="0" applyBorder="1" applyAlignment="1" applyProtection="1">
      <alignment horizontal="center"/>
      <protection/>
    </xf>
    <xf numFmtId="0" fontId="0" fillId="0" borderId="133" xfId="0" applyBorder="1" applyAlignment="1" applyProtection="1">
      <alignment horizontal="center"/>
      <protection/>
    </xf>
    <xf numFmtId="0" fontId="0" fillId="0" borderId="106" xfId="0" applyBorder="1" applyAlignment="1" applyProtection="1">
      <alignment wrapText="1"/>
      <protection/>
    </xf>
    <xf numFmtId="0" fontId="0" fillId="0" borderId="7" xfId="0" applyBorder="1" applyAlignment="1" applyProtection="1">
      <alignment horizontal="center"/>
      <protection/>
    </xf>
    <xf numFmtId="0" fontId="0" fillId="18" borderId="143" xfId="0" applyFill="1" applyBorder="1" applyAlignment="1" applyProtection="1">
      <alignment/>
      <protection/>
    </xf>
    <xf numFmtId="49" fontId="0" fillId="2" borderId="0" xfId="0" applyNumberFormat="1" applyFill="1" applyBorder="1" applyAlignment="1" applyProtection="1">
      <alignment horizontal="center"/>
      <protection/>
    </xf>
    <xf numFmtId="49" fontId="0" fillId="2" borderId="0" xfId="0" applyNumberFormat="1" applyFill="1" applyBorder="1" applyAlignment="1" applyProtection="1">
      <alignment horizontal="center"/>
      <protection/>
    </xf>
    <xf numFmtId="0" fontId="0" fillId="2" borderId="0" xfId="0" applyFill="1" applyBorder="1" applyAlignment="1" applyProtection="1">
      <alignment horizontal="left" wrapText="1"/>
      <protection/>
    </xf>
    <xf numFmtId="0" fontId="0" fillId="2" borderId="0" xfId="0" applyFill="1" applyBorder="1" applyAlignment="1" applyProtection="1">
      <alignment horizontal="center"/>
      <protection/>
    </xf>
    <xf numFmtId="1" fontId="0" fillId="2" borderId="0" xfId="0" applyNumberFormat="1" applyFill="1" applyBorder="1" applyAlignment="1" applyProtection="1">
      <alignment horizontal="center"/>
      <protection/>
    </xf>
    <xf numFmtId="44" fontId="0" fillId="2" borderId="0" xfId="17" applyFill="1" applyBorder="1" applyAlignment="1" applyProtection="1">
      <alignment/>
      <protection/>
    </xf>
    <xf numFmtId="44" fontId="0" fillId="2" borderId="0" xfId="17" applyFill="1" applyBorder="1" applyAlignment="1" applyProtection="1">
      <alignment/>
      <protection/>
    </xf>
    <xf numFmtId="0" fontId="0" fillId="2" borderId="0" xfId="0" applyFill="1" applyBorder="1" applyAlignment="1" applyProtection="1">
      <alignment horizontal="left" wrapText="1"/>
      <protection/>
    </xf>
    <xf numFmtId="1" fontId="1" fillId="2" borderId="0" xfId="0" applyNumberFormat="1" applyFont="1" applyFill="1" applyBorder="1" applyAlignment="1" applyProtection="1">
      <alignment horizontal="center"/>
      <protection/>
    </xf>
    <xf numFmtId="0" fontId="0" fillId="2" borderId="0" xfId="0" applyFill="1" applyBorder="1" applyAlignment="1" applyProtection="1">
      <alignment/>
      <protection/>
    </xf>
    <xf numFmtId="0" fontId="0" fillId="18" borderId="100" xfId="0" applyFill="1" applyBorder="1" applyAlignment="1" applyProtection="1">
      <alignment/>
      <protection/>
    </xf>
    <xf numFmtId="0" fontId="15" fillId="2" borderId="100" xfId="0" applyFont="1" applyFill="1" applyBorder="1" applyAlignment="1" applyProtection="1">
      <alignment horizontal="center"/>
      <protection/>
    </xf>
    <xf numFmtId="0" fontId="15" fillId="2" borderId="0" xfId="0" applyFont="1" applyFill="1" applyBorder="1" applyAlignment="1" applyProtection="1">
      <alignment horizontal="center"/>
      <protection/>
    </xf>
    <xf numFmtId="0" fontId="1" fillId="0" borderId="143" xfId="0" applyFont="1" applyBorder="1" applyAlignment="1" applyProtection="1">
      <alignment textRotation="90"/>
      <protection/>
    </xf>
    <xf numFmtId="0" fontId="19" fillId="10" borderId="40" xfId="0" applyFont="1" applyFill="1" applyBorder="1" applyAlignment="1" applyProtection="1">
      <alignment horizontal="center"/>
      <protection/>
    </xf>
    <xf numFmtId="0" fontId="19" fillId="10" borderId="37" xfId="0" applyFont="1" applyFill="1" applyBorder="1" applyAlignment="1" applyProtection="1">
      <alignment horizontal="center"/>
      <protection/>
    </xf>
    <xf numFmtId="0" fontId="19" fillId="10" borderId="144" xfId="0" applyFont="1" applyFill="1" applyBorder="1" applyAlignment="1" applyProtection="1">
      <alignment horizontal="center"/>
      <protection/>
    </xf>
    <xf numFmtId="0" fontId="19" fillId="10" borderId="0" xfId="0" applyFont="1" applyFill="1" applyBorder="1" applyAlignment="1" applyProtection="1">
      <alignment horizontal="center"/>
      <protection/>
    </xf>
    <xf numFmtId="0" fontId="19" fillId="10" borderId="33" xfId="0" applyFont="1" applyFill="1" applyBorder="1" applyAlignment="1" applyProtection="1">
      <alignment horizontal="center"/>
      <protection/>
    </xf>
    <xf numFmtId="0" fontId="1" fillId="0" borderId="0" xfId="0" applyFont="1" applyBorder="1" applyAlignment="1" applyProtection="1">
      <alignment textRotation="90"/>
      <protection/>
    </xf>
    <xf numFmtId="0" fontId="1" fillId="0" borderId="8" xfId="0" applyFont="1" applyBorder="1" applyAlignment="1" applyProtection="1">
      <alignment horizontal="center" wrapText="1"/>
      <protection/>
    </xf>
    <xf numFmtId="49" fontId="1" fillId="0" borderId="6" xfId="0" applyNumberFormat="1" applyFont="1" applyBorder="1" applyAlignment="1" applyProtection="1">
      <alignment horizontal="center" wrapText="1"/>
      <protection/>
    </xf>
    <xf numFmtId="1" fontId="1" fillId="0" borderId="6" xfId="0" applyNumberFormat="1" applyFont="1" applyBorder="1" applyAlignment="1" applyProtection="1">
      <alignment horizontal="center" wrapText="1"/>
      <protection/>
    </xf>
    <xf numFmtId="44" fontId="13" fillId="0" borderId="51" xfId="17" applyFont="1" applyBorder="1" applyAlignment="1" applyProtection="1">
      <alignment horizontal="center" wrapText="1"/>
      <protection/>
    </xf>
    <xf numFmtId="0" fontId="0" fillId="0" borderId="30" xfId="0" applyBorder="1" applyAlignment="1" applyProtection="1">
      <alignment horizontal="center" wrapText="1"/>
      <protection/>
    </xf>
    <xf numFmtId="44" fontId="13" fillId="21" borderId="83" xfId="17" applyFont="1" applyFill="1" applyBorder="1" applyAlignment="1" applyProtection="1">
      <alignment horizontal="center" wrapText="1"/>
      <protection/>
    </xf>
    <xf numFmtId="1" fontId="1" fillId="0" borderId="20" xfId="0" applyNumberFormat="1" applyFont="1" applyBorder="1" applyAlignment="1" applyProtection="1">
      <alignment horizontal="center" wrapText="1"/>
      <protection/>
    </xf>
    <xf numFmtId="0" fontId="1" fillId="0" borderId="20" xfId="0" applyFont="1" applyBorder="1" applyAlignment="1" applyProtection="1">
      <alignment horizontal="center" wrapText="1"/>
      <protection/>
    </xf>
    <xf numFmtId="44" fontId="1" fillId="0" borderId="20" xfId="17" applyFont="1" applyBorder="1" applyAlignment="1" applyProtection="1">
      <alignment horizontal="center" wrapText="1"/>
      <protection/>
    </xf>
    <xf numFmtId="1" fontId="1" fillId="0" borderId="20" xfId="0" applyNumberFormat="1" applyFont="1" applyBorder="1" applyAlignment="1" applyProtection="1">
      <alignment horizontal="center" wrapText="1"/>
      <protection/>
    </xf>
    <xf numFmtId="0" fontId="0" fillId="0" borderId="20" xfId="0" applyBorder="1" applyAlignment="1" applyProtection="1">
      <alignment horizontal="center" wrapText="1"/>
      <protection/>
    </xf>
    <xf numFmtId="44" fontId="27" fillId="0" borderId="20" xfId="17" applyFont="1" applyBorder="1" applyAlignment="1" applyProtection="1">
      <alignment horizontal="center" wrapText="1"/>
      <protection/>
    </xf>
    <xf numFmtId="0" fontId="29" fillId="0" borderId="21" xfId="0" applyFont="1" applyBorder="1" applyAlignment="1" applyProtection="1">
      <alignment horizontal="center" wrapText="1"/>
      <protection/>
    </xf>
    <xf numFmtId="0" fontId="1" fillId="0" borderId="109" xfId="0" applyFont="1" applyFill="1" applyBorder="1" applyAlignment="1" applyProtection="1">
      <alignment horizontal="center"/>
      <protection/>
    </xf>
    <xf numFmtId="0" fontId="1" fillId="0" borderId="46" xfId="0" applyFont="1" applyFill="1" applyBorder="1" applyAlignment="1" applyProtection="1">
      <alignment horizontal="center"/>
      <protection/>
    </xf>
    <xf numFmtId="0" fontId="18" fillId="11" borderId="97" xfId="0" applyFont="1" applyFill="1" applyBorder="1" applyAlignment="1" applyProtection="1">
      <alignment horizontal="left" wrapText="1" indent="2"/>
      <protection/>
    </xf>
    <xf numFmtId="0" fontId="21" fillId="11" borderId="41" xfId="0" applyFont="1" applyFill="1" applyBorder="1" applyAlignment="1" applyProtection="1">
      <alignment horizontal="left" wrapText="1" indent="2"/>
      <protection/>
    </xf>
    <xf numFmtId="0" fontId="21" fillId="11" borderId="42" xfId="0" applyFont="1" applyFill="1" applyBorder="1" applyAlignment="1" applyProtection="1">
      <alignment horizontal="left" wrapText="1" indent="2"/>
      <protection/>
    </xf>
    <xf numFmtId="0" fontId="18" fillId="12" borderId="41" xfId="0" applyFont="1" applyFill="1" applyBorder="1" applyAlignment="1" applyProtection="1">
      <alignment horizontal="left" wrapText="1" indent="3"/>
      <protection/>
    </xf>
    <xf numFmtId="0" fontId="18" fillId="11" borderId="71" xfId="0" applyFont="1" applyFill="1" applyBorder="1" applyAlignment="1" applyProtection="1">
      <alignment horizontal="left" wrapText="1" indent="3"/>
      <protection/>
    </xf>
    <xf numFmtId="0" fontId="18" fillId="11" borderId="83" xfId="0" applyFont="1" applyFill="1" applyBorder="1" applyAlignment="1" applyProtection="1">
      <alignment horizontal="left" wrapText="1" indent="3"/>
      <protection/>
    </xf>
    <xf numFmtId="0" fontId="0" fillId="0" borderId="1" xfId="0" applyFill="1" applyBorder="1" applyAlignment="1" applyProtection="1">
      <alignment horizontal="center"/>
      <protection/>
    </xf>
    <xf numFmtId="1" fontId="0" fillId="2" borderId="1" xfId="0" applyNumberFormat="1" applyFill="1" applyBorder="1" applyAlignment="1" applyProtection="1">
      <alignment horizontal="center"/>
      <protection/>
    </xf>
    <xf numFmtId="0" fontId="0" fillId="0" borderId="38" xfId="0" applyBorder="1" applyAlignment="1" applyProtection="1">
      <alignment horizontal="left"/>
      <protection/>
    </xf>
    <xf numFmtId="166" fontId="0" fillId="24" borderId="0" xfId="0" applyNumberFormat="1" applyFill="1" applyAlignment="1" applyProtection="1">
      <alignment horizontal="center"/>
      <protection/>
    </xf>
    <xf numFmtId="1" fontId="0" fillId="24" borderId="0" xfId="0" applyNumberFormat="1" applyFill="1" applyBorder="1" applyAlignment="1" applyProtection="1">
      <alignment horizontal="center"/>
      <protection/>
    </xf>
    <xf numFmtId="166" fontId="0" fillId="24" borderId="0" xfId="0" applyNumberFormat="1" applyFill="1" applyBorder="1" applyAlignment="1" applyProtection="1">
      <alignment horizontal="center"/>
      <protection/>
    </xf>
    <xf numFmtId="1" fontId="0" fillId="24" borderId="0" xfId="0" applyNumberFormat="1" applyFill="1" applyAlignment="1" applyProtection="1">
      <alignment horizontal="center"/>
      <protection/>
    </xf>
    <xf numFmtId="0" fontId="0" fillId="24" borderId="0" xfId="0" applyFill="1" applyAlignment="1" applyProtection="1">
      <alignment horizontal="center"/>
      <protection/>
    </xf>
    <xf numFmtId="1" fontId="0" fillId="2" borderId="2" xfId="0" applyNumberFormat="1" applyFill="1" applyBorder="1" applyAlignment="1" applyProtection="1">
      <alignment horizontal="center"/>
      <protection/>
    </xf>
    <xf numFmtId="0" fontId="0" fillId="0" borderId="6" xfId="0" applyFill="1" applyBorder="1" applyAlignment="1" applyProtection="1">
      <alignment horizontal="center"/>
      <protection/>
    </xf>
    <xf numFmtId="44" fontId="1" fillId="3" borderId="2" xfId="17" applyFont="1" applyFill="1" applyBorder="1" applyAlignment="1" applyProtection="1">
      <alignment horizontal="center"/>
      <protection/>
    </xf>
    <xf numFmtId="0" fontId="0" fillId="0" borderId="145" xfId="0" applyBorder="1" applyAlignment="1" applyProtection="1">
      <alignment horizontal="center"/>
      <protection/>
    </xf>
    <xf numFmtId="0" fontId="0" fillId="0" borderId="146" xfId="0" applyBorder="1" applyAlignment="1" applyProtection="1">
      <alignment horizontal="center"/>
      <protection/>
    </xf>
    <xf numFmtId="0" fontId="1" fillId="13" borderId="58" xfId="0" applyFont="1" applyFill="1" applyBorder="1" applyAlignment="1" applyProtection="1">
      <alignment horizontal="left"/>
      <protection/>
    </xf>
    <xf numFmtId="0" fontId="0" fillId="13" borderId="34" xfId="0" applyFill="1" applyBorder="1" applyAlignment="1" applyProtection="1">
      <alignment/>
      <protection/>
    </xf>
    <xf numFmtId="0" fontId="1" fillId="13" borderId="58" xfId="0" applyFont="1" applyFill="1" applyBorder="1" applyAlignment="1" applyProtection="1">
      <alignment horizontal="left"/>
      <protection/>
    </xf>
    <xf numFmtId="0" fontId="0" fillId="11" borderId="55" xfId="0" applyFill="1" applyBorder="1" applyAlignment="1" applyProtection="1">
      <alignment/>
      <protection/>
    </xf>
    <xf numFmtId="0" fontId="0" fillId="11" borderId="64" xfId="0" applyFill="1" applyBorder="1" applyAlignment="1" applyProtection="1">
      <alignment/>
      <protection/>
    </xf>
    <xf numFmtId="1" fontId="28" fillId="3" borderId="51" xfId="0" applyNumberFormat="1" applyFont="1" applyFill="1" applyBorder="1" applyAlignment="1" applyProtection="1">
      <alignment horizontal="center"/>
      <protection/>
    </xf>
    <xf numFmtId="1" fontId="28" fillId="3" borderId="30" xfId="0" applyNumberFormat="1" applyFont="1" applyFill="1" applyBorder="1" applyAlignment="1" applyProtection="1">
      <alignment horizontal="center"/>
      <protection/>
    </xf>
    <xf numFmtId="1" fontId="28" fillId="3" borderId="83" xfId="0" applyNumberFormat="1" applyFont="1" applyFill="1" applyBorder="1" applyAlignment="1" applyProtection="1">
      <alignment horizontal="center"/>
      <protection/>
    </xf>
    <xf numFmtId="44" fontId="21" fillId="12" borderId="41" xfId="17" applyFont="1" applyFill="1" applyBorder="1" applyAlignment="1" applyProtection="1">
      <alignment horizontal="center"/>
      <protection/>
    </xf>
    <xf numFmtId="44" fontId="21" fillId="11" borderId="71" xfId="17" applyFont="1" applyFill="1" applyBorder="1" applyAlignment="1" applyProtection="1">
      <alignment horizontal="center"/>
      <protection/>
    </xf>
    <xf numFmtId="44" fontId="21" fillId="11" borderId="83" xfId="17" applyFont="1" applyFill="1" applyBorder="1" applyAlignment="1" applyProtection="1">
      <alignment horizontal="center"/>
      <protection/>
    </xf>
    <xf numFmtId="0" fontId="21" fillId="11" borderId="30" xfId="0" applyFont="1" applyFill="1" applyBorder="1" applyAlignment="1" applyProtection="1">
      <alignment horizontal="left" wrapText="1" indent="3"/>
      <protection/>
    </xf>
    <xf numFmtId="166" fontId="21" fillId="11" borderId="100" xfId="0" applyNumberFormat="1" applyFont="1" applyFill="1" applyBorder="1" applyAlignment="1" applyProtection="1">
      <alignment horizontal="center"/>
      <protection/>
    </xf>
    <xf numFmtId="0" fontId="21" fillId="11" borderId="100" xfId="0" applyFont="1" applyFill="1" applyBorder="1" applyAlignment="1" applyProtection="1">
      <alignment horizontal="center"/>
      <protection/>
    </xf>
    <xf numFmtId="1" fontId="21" fillId="11" borderId="100" xfId="0" applyNumberFormat="1" applyFont="1" applyFill="1" applyBorder="1" applyAlignment="1" applyProtection="1">
      <alignment horizontal="center"/>
      <protection/>
    </xf>
    <xf numFmtId="0" fontId="21" fillId="11" borderId="100" xfId="0" applyFont="1" applyFill="1" applyBorder="1" applyAlignment="1" applyProtection="1">
      <alignment/>
      <protection/>
    </xf>
    <xf numFmtId="44" fontId="0" fillId="2" borderId="1" xfId="17" applyFill="1" applyBorder="1" applyAlignment="1" applyProtection="1">
      <alignment horizontal="center"/>
      <protection/>
    </xf>
    <xf numFmtId="0" fontId="0" fillId="0" borderId="10" xfId="0" applyBorder="1" applyAlignment="1" applyProtection="1">
      <alignment horizontal="center"/>
      <protection/>
    </xf>
    <xf numFmtId="1" fontId="28" fillId="3" borderId="9" xfId="0" applyNumberFormat="1" applyFont="1" applyFill="1" applyBorder="1" applyAlignment="1" applyProtection="1">
      <alignment horizontal="center"/>
      <protection/>
    </xf>
    <xf numFmtId="1" fontId="28" fillId="3" borderId="10" xfId="0" applyNumberFormat="1" applyFont="1" applyFill="1" applyBorder="1" applyAlignment="1" applyProtection="1">
      <alignment horizontal="center"/>
      <protection/>
    </xf>
    <xf numFmtId="1" fontId="30" fillId="18" borderId="91" xfId="0" applyNumberFormat="1" applyFont="1" applyFill="1" applyBorder="1" applyAlignment="1" applyProtection="1">
      <alignment horizontal="center"/>
      <protection/>
    </xf>
    <xf numFmtId="1" fontId="30" fillId="18" borderId="143" xfId="0" applyNumberFormat="1" applyFont="1" applyFill="1" applyBorder="1" applyAlignment="1" applyProtection="1">
      <alignment horizontal="center"/>
      <protection/>
    </xf>
    <xf numFmtId="0" fontId="0" fillId="0" borderId="0" xfId="0" applyBorder="1" applyAlignment="1" applyProtection="1">
      <alignment horizontal="center"/>
      <protection/>
    </xf>
    <xf numFmtId="166" fontId="0" fillId="3" borderId="0" xfId="0" applyNumberFormat="1" applyFill="1" applyBorder="1" applyAlignment="1" applyProtection="1">
      <alignment horizontal="center"/>
      <protection/>
    </xf>
    <xf numFmtId="1" fontId="0" fillId="18" borderId="0" xfId="0" applyNumberFormat="1" applyFill="1" applyAlignment="1" applyProtection="1">
      <alignment horizontal="center"/>
      <protection/>
    </xf>
    <xf numFmtId="0" fontId="0" fillId="18" borderId="0" xfId="0" applyFill="1" applyAlignment="1" applyProtection="1">
      <alignment horizontal="center"/>
      <protection/>
    </xf>
    <xf numFmtId="0" fontId="0" fillId="0" borderId="14" xfId="0" applyFill="1" applyBorder="1" applyAlignment="1" applyProtection="1">
      <alignment horizontal="center"/>
      <protection/>
    </xf>
    <xf numFmtId="0" fontId="0" fillId="0" borderId="54" xfId="0" applyBorder="1" applyAlignment="1" applyProtection="1">
      <alignment horizontal="left"/>
      <protection/>
    </xf>
    <xf numFmtId="0" fontId="0" fillId="0" borderId="70" xfId="0" applyBorder="1" applyAlignment="1" applyProtection="1">
      <alignment horizontal="center"/>
      <protection/>
    </xf>
    <xf numFmtId="0" fontId="0" fillId="0" borderId="0" xfId="0" applyAlignment="1" applyProtection="1">
      <alignment textRotation="90"/>
      <protection/>
    </xf>
    <xf numFmtId="49" fontId="0" fillId="18" borderId="0" xfId="0" applyNumberFormat="1" applyFill="1" applyBorder="1" applyAlignment="1" applyProtection="1">
      <alignment horizontal="center"/>
      <protection/>
    </xf>
    <xf numFmtId="166" fontId="0" fillId="3" borderId="100" xfId="0" applyNumberFormat="1" applyFill="1" applyBorder="1" applyAlignment="1" applyProtection="1">
      <alignment horizontal="center"/>
      <protection/>
    </xf>
    <xf numFmtId="1" fontId="0" fillId="3" borderId="101" xfId="0" applyNumberFormat="1" applyFill="1" applyBorder="1" applyAlignment="1" applyProtection="1">
      <alignment horizontal="center"/>
      <protection/>
    </xf>
    <xf numFmtId="0" fontId="1" fillId="13" borderId="44" xfId="0" applyFont="1" applyFill="1" applyBorder="1" applyAlignment="1" applyProtection="1">
      <alignment horizontal="left"/>
      <protection/>
    </xf>
    <xf numFmtId="0" fontId="0" fillId="3" borderId="68" xfId="0" applyFill="1" applyBorder="1" applyAlignment="1" applyProtection="1">
      <alignment horizontal="center"/>
      <protection/>
    </xf>
    <xf numFmtId="0" fontId="0" fillId="0" borderId="147" xfId="0" applyBorder="1" applyAlignment="1" applyProtection="1">
      <alignment horizontal="center"/>
      <protection/>
    </xf>
    <xf numFmtId="0" fontId="1" fillId="18" borderId="0" xfId="0" applyFont="1" applyFill="1" applyBorder="1" applyAlignment="1" applyProtection="1">
      <alignment textRotation="90"/>
      <protection/>
    </xf>
    <xf numFmtId="0" fontId="0" fillId="18" borderId="0" xfId="0" applyFill="1" applyBorder="1" applyAlignment="1" applyProtection="1">
      <alignment horizontal="left"/>
      <protection/>
    </xf>
    <xf numFmtId="0" fontId="1" fillId="0" borderId="33" xfId="0" applyFont="1" applyBorder="1" applyAlignment="1" applyProtection="1">
      <alignment textRotation="90"/>
      <protection/>
    </xf>
    <xf numFmtId="0" fontId="21" fillId="10" borderId="40" xfId="0" applyFont="1" applyFill="1" applyBorder="1" applyAlignment="1" applyProtection="1">
      <alignment horizontal="center"/>
      <protection/>
    </xf>
    <xf numFmtId="0" fontId="19" fillId="10" borderId="40" xfId="0" applyFont="1" applyFill="1" applyBorder="1" applyAlignment="1" applyProtection="1">
      <alignment horizontal="center" wrapText="1"/>
      <protection/>
    </xf>
    <xf numFmtId="0" fontId="19" fillId="10" borderId="40" xfId="0" applyFont="1" applyFill="1" applyBorder="1" applyAlignment="1" applyProtection="1">
      <alignment horizontal="center"/>
      <protection/>
    </xf>
    <xf numFmtId="0" fontId="19" fillId="10" borderId="91" xfId="0" applyFont="1" applyFill="1" applyBorder="1" applyAlignment="1" applyProtection="1">
      <alignment horizontal="center"/>
      <protection/>
    </xf>
    <xf numFmtId="0" fontId="21" fillId="10" borderId="143" xfId="0" applyFont="1" applyFill="1" applyBorder="1" applyAlignment="1" applyProtection="1">
      <alignment/>
      <protection/>
    </xf>
    <xf numFmtId="0" fontId="19" fillId="10" borderId="143" xfId="0" applyFont="1" applyFill="1" applyBorder="1" applyAlignment="1" applyProtection="1">
      <alignment horizontal="center" wrapText="1"/>
      <protection/>
    </xf>
    <xf numFmtId="0" fontId="19" fillId="10" borderId="143" xfId="0" applyFont="1" applyFill="1" applyBorder="1" applyAlignment="1" applyProtection="1">
      <alignment horizontal="center"/>
      <protection/>
    </xf>
    <xf numFmtId="44" fontId="19" fillId="10" borderId="143" xfId="17" applyFont="1" applyFill="1" applyBorder="1" applyAlignment="1" applyProtection="1">
      <alignment horizontal="left"/>
      <protection/>
    </xf>
    <xf numFmtId="44" fontId="19" fillId="10" borderId="143" xfId="17" applyFont="1" applyFill="1" applyBorder="1" applyAlignment="1" applyProtection="1">
      <alignment horizontal="center"/>
      <protection/>
    </xf>
    <xf numFmtId="44" fontId="19" fillId="10" borderId="66" xfId="17" applyFont="1" applyFill="1" applyBorder="1" applyAlignment="1" applyProtection="1">
      <alignment horizontal="center"/>
      <protection/>
    </xf>
    <xf numFmtId="44" fontId="19" fillId="10" borderId="148" xfId="17" applyFont="1" applyFill="1" applyBorder="1" applyAlignment="1" applyProtection="1">
      <alignment horizontal="center"/>
      <protection/>
    </xf>
    <xf numFmtId="1" fontId="1" fillId="0" borderId="31" xfId="0" applyNumberFormat="1" applyFont="1" applyBorder="1" applyAlignment="1" applyProtection="1">
      <alignment horizontal="center" wrapText="1"/>
      <protection/>
    </xf>
    <xf numFmtId="1" fontId="1" fillId="0" borderId="43" xfId="0" applyNumberFormat="1" applyFont="1" applyBorder="1" applyAlignment="1" applyProtection="1">
      <alignment horizontal="center" wrapText="1"/>
      <protection/>
    </xf>
    <xf numFmtId="44" fontId="13" fillId="0" borderId="20" xfId="17" applyFont="1" applyBorder="1" applyAlignment="1" applyProtection="1">
      <alignment horizontal="center" wrapText="1"/>
      <protection/>
    </xf>
    <xf numFmtId="44" fontId="13" fillId="0" borderId="21" xfId="17" applyFont="1" applyBorder="1" applyAlignment="1" applyProtection="1">
      <alignment horizontal="center" wrapText="1"/>
      <protection/>
    </xf>
    <xf numFmtId="44" fontId="13" fillId="0" borderId="24" xfId="17" applyFont="1" applyBorder="1" applyAlignment="1" applyProtection="1">
      <alignment horizontal="center" wrapText="1"/>
      <protection/>
    </xf>
    <xf numFmtId="0" fontId="18" fillId="11" borderId="41" xfId="0" applyFont="1" applyFill="1" applyBorder="1" applyAlignment="1" applyProtection="1">
      <alignment horizontal="left" wrapText="1" indent="2"/>
      <protection/>
    </xf>
    <xf numFmtId="1" fontId="21" fillId="11" borderId="41" xfId="0" applyNumberFormat="1" applyFont="1" applyFill="1" applyBorder="1" applyAlignment="1" applyProtection="1">
      <alignment horizontal="left"/>
      <protection/>
    </xf>
    <xf numFmtId="0" fontId="21" fillId="11" borderId="41" xfId="0" applyFont="1" applyFill="1" applyBorder="1" applyAlignment="1" applyProtection="1">
      <alignment horizontal="left" indent="5"/>
      <protection/>
    </xf>
    <xf numFmtId="0" fontId="21" fillId="11" borderId="149" xfId="0" applyFont="1" applyFill="1" applyBorder="1" applyAlignment="1" applyProtection="1">
      <alignment horizontal="left" indent="5"/>
      <protection/>
    </xf>
    <xf numFmtId="0" fontId="21" fillId="12" borderId="149" xfId="0" applyFont="1" applyFill="1" applyBorder="1" applyAlignment="1" applyProtection="1">
      <alignment horizontal="center"/>
      <protection/>
    </xf>
    <xf numFmtId="44" fontId="21" fillId="12" borderId="16" xfId="17" applyFont="1" applyFill="1" applyBorder="1" applyAlignment="1" applyProtection="1">
      <alignment horizontal="center"/>
      <protection/>
    </xf>
    <xf numFmtId="0" fontId="18" fillId="12" borderId="150" xfId="0" applyFont="1" applyFill="1" applyBorder="1" applyAlignment="1" applyProtection="1">
      <alignment horizontal="left" wrapText="1" indent="3"/>
      <protection/>
    </xf>
    <xf numFmtId="0" fontId="0" fillId="13" borderId="38" xfId="0" applyFill="1" applyBorder="1" applyAlignment="1" applyProtection="1">
      <alignment horizontal="left"/>
      <protection/>
    </xf>
    <xf numFmtId="1" fontId="21" fillId="11" borderId="41" xfId="0" applyNumberFormat="1" applyFont="1" applyFill="1" applyBorder="1" applyAlignment="1" applyProtection="1">
      <alignment horizontal="left" indent="3"/>
      <protection/>
    </xf>
    <xf numFmtId="0" fontId="21" fillId="11" borderId="149" xfId="0" applyFont="1" applyFill="1" applyBorder="1" applyAlignment="1" applyProtection="1">
      <alignment horizontal="left" wrapText="1" indent="3"/>
      <protection/>
    </xf>
    <xf numFmtId="166" fontId="21" fillId="12" borderId="30" xfId="0" applyNumberFormat="1" applyFont="1" applyFill="1" applyBorder="1" applyAlignment="1" applyProtection="1">
      <alignment horizontal="center"/>
      <protection/>
    </xf>
    <xf numFmtId="1" fontId="21" fillId="12" borderId="30" xfId="0" applyNumberFormat="1" applyFont="1" applyFill="1" applyBorder="1" applyAlignment="1" applyProtection="1">
      <alignment horizontal="center"/>
      <protection/>
    </xf>
    <xf numFmtId="0" fontId="21" fillId="12" borderId="30" xfId="0" applyFont="1" applyFill="1" applyBorder="1" applyAlignment="1" applyProtection="1">
      <alignment horizontal="center"/>
      <protection/>
    </xf>
    <xf numFmtId="1" fontId="21" fillId="12" borderId="83" xfId="0" applyNumberFormat="1" applyFont="1" applyFill="1" applyBorder="1" applyAlignment="1" applyProtection="1">
      <alignment horizontal="center"/>
      <protection/>
    </xf>
    <xf numFmtId="44" fontId="21" fillId="12" borderId="88" xfId="17" applyFont="1" applyFill="1" applyBorder="1" applyAlignment="1" applyProtection="1">
      <alignment horizontal="center"/>
      <protection/>
    </xf>
    <xf numFmtId="44" fontId="21" fillId="12" borderId="92" xfId="17" applyFont="1" applyFill="1" applyBorder="1" applyAlignment="1" applyProtection="1">
      <alignment horizontal="center"/>
      <protection/>
    </xf>
    <xf numFmtId="0" fontId="0" fillId="0" borderId="2" xfId="0" applyFill="1" applyBorder="1" applyAlignment="1" applyProtection="1">
      <alignment horizontal="center"/>
      <protection/>
    </xf>
    <xf numFmtId="0" fontId="0" fillId="0" borderId="55" xfId="0" applyBorder="1" applyAlignment="1" applyProtection="1">
      <alignment horizontal="left"/>
      <protection/>
    </xf>
    <xf numFmtId="44" fontId="0" fillId="2" borderId="2" xfId="17" applyFill="1" applyBorder="1" applyAlignment="1" applyProtection="1">
      <alignment horizontal="center"/>
      <protection/>
    </xf>
    <xf numFmtId="1" fontId="1" fillId="3" borderId="53" xfId="0" applyNumberFormat="1" applyFont="1" applyFill="1" applyBorder="1" applyAlignment="1" applyProtection="1">
      <alignment horizontal="center"/>
      <protection/>
    </xf>
    <xf numFmtId="166" fontId="0" fillId="3" borderId="151" xfId="0" applyNumberFormat="1" applyFill="1" applyBorder="1" applyAlignment="1" applyProtection="1">
      <alignment horizontal="center"/>
      <protection/>
    </xf>
    <xf numFmtId="1" fontId="0" fillId="3" borderId="151" xfId="0" applyNumberFormat="1" applyFill="1" applyBorder="1" applyAlignment="1" applyProtection="1">
      <alignment horizontal="center"/>
      <protection/>
    </xf>
    <xf numFmtId="0" fontId="0" fillId="3" borderId="151" xfId="0" applyFill="1" applyBorder="1" applyAlignment="1" applyProtection="1">
      <alignment horizontal="center"/>
      <protection/>
    </xf>
    <xf numFmtId="1" fontId="0" fillId="3" borderId="152" xfId="0" applyNumberFormat="1" applyFill="1" applyBorder="1" applyAlignment="1" applyProtection="1">
      <alignment horizontal="center"/>
      <protection/>
    </xf>
    <xf numFmtId="0" fontId="0" fillId="0" borderId="41" xfId="0" applyBorder="1" applyAlignment="1" applyProtection="1">
      <alignment horizontal="left" wrapText="1" indent="2"/>
      <protection/>
    </xf>
    <xf numFmtId="0" fontId="18" fillId="11" borderId="41" xfId="0" applyFont="1" applyFill="1" applyBorder="1" applyAlignment="1" applyProtection="1">
      <alignment horizontal="left" indent="5"/>
      <protection/>
    </xf>
    <xf numFmtId="0" fontId="18" fillId="11" borderId="149" xfId="0" applyFont="1" applyFill="1" applyBorder="1" applyAlignment="1" applyProtection="1">
      <alignment horizontal="left" indent="5"/>
      <protection/>
    </xf>
    <xf numFmtId="0" fontId="0" fillId="0" borderId="41" xfId="0" applyBorder="1" applyAlignment="1" applyProtection="1">
      <alignment/>
      <protection/>
    </xf>
    <xf numFmtId="0" fontId="18" fillId="12" borderId="149" xfId="0" applyFont="1" applyFill="1" applyBorder="1" applyAlignment="1" applyProtection="1">
      <alignment horizontal="center"/>
      <protection/>
    </xf>
    <xf numFmtId="44" fontId="18" fillId="12" borderId="41" xfId="17" applyFont="1" applyFill="1" applyBorder="1" applyAlignment="1" applyProtection="1">
      <alignment horizontal="center"/>
      <protection/>
    </xf>
    <xf numFmtId="44" fontId="18" fillId="12" borderId="88" xfId="17" applyFont="1" applyFill="1" applyBorder="1" applyAlignment="1" applyProtection="1">
      <alignment horizontal="center"/>
      <protection/>
    </xf>
    <xf numFmtId="44" fontId="18" fillId="12" borderId="150" xfId="17" applyFont="1" applyFill="1" applyBorder="1" applyAlignment="1" applyProtection="1">
      <alignment horizontal="center"/>
      <protection/>
    </xf>
    <xf numFmtId="0" fontId="0" fillId="2" borderId="94" xfId="0" applyFill="1" applyBorder="1" applyAlignment="1" applyProtection="1">
      <alignment/>
      <protection/>
    </xf>
    <xf numFmtId="44" fontId="18" fillId="12" borderId="153" xfId="17" applyFont="1" applyFill="1" applyBorder="1" applyAlignment="1" applyProtection="1">
      <alignment horizontal="center"/>
      <protection/>
    </xf>
    <xf numFmtId="0" fontId="18" fillId="12" borderId="41" xfId="0" applyFont="1" applyFill="1" applyBorder="1" applyAlignment="1" applyProtection="1">
      <alignment horizontal="center"/>
      <protection/>
    </xf>
    <xf numFmtId="44" fontId="18" fillId="12" borderId="16" xfId="17" applyFont="1" applyFill="1" applyBorder="1" applyAlignment="1" applyProtection="1">
      <alignment horizontal="center"/>
      <protection/>
    </xf>
    <xf numFmtId="0" fontId="18" fillId="12" borderId="97" xfId="0" applyFont="1" applyFill="1" applyBorder="1" applyAlignment="1" applyProtection="1">
      <alignment horizontal="left" indent="5"/>
      <protection/>
    </xf>
    <xf numFmtId="0" fontId="21" fillId="12" borderId="41" xfId="0" applyFont="1" applyFill="1" applyBorder="1" applyAlignment="1" applyProtection="1">
      <alignment horizontal="left" indent="5"/>
      <protection/>
    </xf>
    <xf numFmtId="0" fontId="0" fillId="0" borderId="3" xfId="0" applyFill="1" applyBorder="1" applyAlignment="1" applyProtection="1">
      <alignment horizontal="center"/>
      <protection/>
    </xf>
    <xf numFmtId="0" fontId="0" fillId="0" borderId="8" xfId="0" applyBorder="1" applyAlignment="1" applyProtection="1">
      <alignment horizontal="left"/>
      <protection/>
    </xf>
    <xf numFmtId="0" fontId="0" fillId="0" borderId="4" xfId="0" applyFill="1" applyBorder="1" applyAlignment="1" applyProtection="1">
      <alignment horizontal="center"/>
      <protection/>
    </xf>
    <xf numFmtId="0" fontId="0" fillId="0" borderId="5" xfId="0" applyFill="1" applyBorder="1" applyAlignment="1" applyProtection="1">
      <alignment horizontal="center"/>
      <protection/>
    </xf>
    <xf numFmtId="0" fontId="0" fillId="0" borderId="56" xfId="0" applyBorder="1" applyAlignment="1" applyProtection="1">
      <alignment horizontal="left"/>
      <protection/>
    </xf>
    <xf numFmtId="0" fontId="0" fillId="0" borderId="5" xfId="0" applyBorder="1" applyAlignment="1" applyProtection="1">
      <alignment horizontal="center"/>
      <protection/>
    </xf>
    <xf numFmtId="0" fontId="1" fillId="13" borderId="34" xfId="0" applyFont="1" applyFill="1" applyBorder="1" applyAlignment="1" applyProtection="1">
      <alignment horizontal="center"/>
      <protection/>
    </xf>
    <xf numFmtId="0" fontId="18" fillId="11" borderId="149" xfId="0" applyFont="1" applyFill="1" applyBorder="1" applyAlignment="1" applyProtection="1">
      <alignment horizontal="left" wrapText="1" indent="2"/>
      <protection/>
    </xf>
    <xf numFmtId="166" fontId="21" fillId="12" borderId="154" xfId="0" applyNumberFormat="1" applyFont="1" applyFill="1" applyBorder="1" applyAlignment="1" applyProtection="1">
      <alignment horizontal="center"/>
      <protection/>
    </xf>
    <xf numFmtId="1" fontId="21" fillId="12" borderId="154" xfId="0" applyNumberFormat="1" applyFont="1" applyFill="1" applyBorder="1" applyAlignment="1" applyProtection="1">
      <alignment horizontal="center"/>
      <protection/>
    </xf>
    <xf numFmtId="0" fontId="21" fillId="12" borderId="154" xfId="0" applyFont="1" applyFill="1" applyBorder="1" applyAlignment="1" applyProtection="1">
      <alignment horizontal="center"/>
      <protection/>
    </xf>
    <xf numFmtId="1" fontId="21" fillId="12" borderId="155" xfId="0" applyNumberFormat="1" applyFont="1" applyFill="1" applyBorder="1" applyAlignment="1" applyProtection="1">
      <alignment horizontal="center"/>
      <protection/>
    </xf>
    <xf numFmtId="166" fontId="0" fillId="3" borderId="10" xfId="0" applyNumberFormat="1" applyFill="1" applyBorder="1" applyAlignment="1" applyProtection="1">
      <alignment horizontal="center"/>
      <protection/>
    </xf>
    <xf numFmtId="0" fontId="0" fillId="0" borderId="106" xfId="0" applyBorder="1" applyAlignment="1" applyProtection="1">
      <alignment horizontal="left"/>
      <protection/>
    </xf>
    <xf numFmtId="1" fontId="0" fillId="8" borderId="7" xfId="0" applyNumberFormat="1" applyFill="1" applyBorder="1" applyAlignment="1" applyProtection="1">
      <alignment horizontal="center"/>
      <protection/>
    </xf>
    <xf numFmtId="0" fontId="0" fillId="2" borderId="95" xfId="0" applyFill="1" applyBorder="1" applyAlignment="1" applyProtection="1">
      <alignment/>
      <protection/>
    </xf>
    <xf numFmtId="0" fontId="18" fillId="14" borderId="45" xfId="0" applyFont="1" applyFill="1" applyBorder="1" applyAlignment="1" applyProtection="1">
      <alignment horizontal="center" wrapText="1"/>
      <protection/>
    </xf>
    <xf numFmtId="0" fontId="21" fillId="14" borderId="156" xfId="0" applyFont="1" applyFill="1" applyBorder="1" applyAlignment="1" applyProtection="1">
      <alignment horizontal="center" wrapText="1"/>
      <protection/>
    </xf>
    <xf numFmtId="0" fontId="18" fillId="14" borderId="157" xfId="0" applyFont="1" applyFill="1" applyBorder="1" applyAlignment="1" applyProtection="1">
      <alignment horizontal="center"/>
      <protection/>
    </xf>
    <xf numFmtId="0" fontId="18" fillId="14" borderId="6" xfId="0" applyFont="1" applyFill="1" applyBorder="1" applyAlignment="1" applyProtection="1">
      <alignment horizontal="center" wrapText="1"/>
      <protection/>
    </xf>
    <xf numFmtId="1" fontId="18" fillId="14" borderId="158" xfId="0" applyNumberFormat="1" applyFont="1" applyFill="1" applyBorder="1" applyAlignment="1" applyProtection="1">
      <alignment horizontal="center" wrapText="1"/>
      <protection/>
    </xf>
    <xf numFmtId="1" fontId="18" fillId="14" borderId="159" xfId="0" applyNumberFormat="1" applyFont="1" applyFill="1" applyBorder="1" applyAlignment="1" applyProtection="1">
      <alignment horizontal="center" wrapText="1"/>
      <protection/>
    </xf>
    <xf numFmtId="44" fontId="23" fillId="14" borderId="158" xfId="17" applyFont="1" applyFill="1" applyBorder="1" applyAlignment="1" applyProtection="1">
      <alignment horizontal="center" wrapText="1"/>
      <protection/>
    </xf>
    <xf numFmtId="44" fontId="23" fillId="14" borderId="69" xfId="17" applyFont="1" applyFill="1" applyBorder="1" applyAlignment="1" applyProtection="1">
      <alignment horizontal="center" wrapText="1"/>
      <protection/>
    </xf>
    <xf numFmtId="44" fontId="23" fillId="14" borderId="160" xfId="17" applyFont="1" applyFill="1" applyBorder="1" applyAlignment="1" applyProtection="1">
      <alignment horizontal="center" wrapText="1"/>
      <protection/>
    </xf>
    <xf numFmtId="0" fontId="1" fillId="13" borderId="44" xfId="0" applyFont="1" applyFill="1" applyBorder="1" applyAlignment="1" applyProtection="1">
      <alignment horizontal="left" wrapText="1"/>
      <protection/>
    </xf>
    <xf numFmtId="0" fontId="0" fillId="13" borderId="161" xfId="0" applyFill="1" applyBorder="1" applyAlignment="1" applyProtection="1">
      <alignment horizontal="left" wrapText="1"/>
      <protection/>
    </xf>
    <xf numFmtId="0" fontId="1" fillId="13" borderId="23" xfId="0" applyFont="1" applyFill="1" applyBorder="1" applyAlignment="1" applyProtection="1">
      <alignment horizontal="center"/>
      <protection/>
    </xf>
    <xf numFmtId="0" fontId="19" fillId="10" borderId="162" xfId="0" applyFont="1" applyFill="1" applyBorder="1" applyAlignment="1" applyProtection="1">
      <alignment horizontal="center"/>
      <protection/>
    </xf>
    <xf numFmtId="0" fontId="21" fillId="10" borderId="163" xfId="0" applyFont="1" applyFill="1" applyBorder="1" applyAlignment="1" applyProtection="1">
      <alignment horizontal="center"/>
      <protection/>
    </xf>
    <xf numFmtId="0" fontId="21" fillId="10" borderId="164" xfId="0" applyFont="1" applyFill="1" applyBorder="1" applyAlignment="1" applyProtection="1">
      <alignment horizontal="center"/>
      <protection/>
    </xf>
    <xf numFmtId="0" fontId="19" fillId="27" borderId="98" xfId="0" applyFont="1" applyFill="1" applyBorder="1" applyAlignment="1" applyProtection="1">
      <alignment horizontal="center"/>
      <protection/>
    </xf>
    <xf numFmtId="0" fontId="21" fillId="27" borderId="40" xfId="0" applyFont="1" applyFill="1" applyBorder="1" applyAlignment="1" applyProtection="1">
      <alignment/>
      <protection/>
    </xf>
    <xf numFmtId="0" fontId="19" fillId="27" borderId="40" xfId="0" applyFont="1" applyFill="1" applyBorder="1" applyAlignment="1" applyProtection="1">
      <alignment horizontal="center" wrapText="1"/>
      <protection/>
    </xf>
    <xf numFmtId="0" fontId="19" fillId="27" borderId="40" xfId="0" applyFont="1" applyFill="1" applyBorder="1" applyAlignment="1" applyProtection="1">
      <alignment horizontal="center"/>
      <protection/>
    </xf>
    <xf numFmtId="44" fontId="19" fillId="27" borderId="40" xfId="17" applyFont="1" applyFill="1" applyBorder="1" applyAlignment="1" applyProtection="1">
      <alignment horizontal="left"/>
      <protection/>
    </xf>
    <xf numFmtId="44" fontId="19" fillId="27" borderId="40" xfId="17" applyFont="1" applyFill="1" applyBorder="1" applyAlignment="1" applyProtection="1">
      <alignment horizontal="center"/>
      <protection/>
    </xf>
    <xf numFmtId="44" fontId="19" fillId="27" borderId="165" xfId="17" applyFont="1" applyFill="1" applyBorder="1" applyAlignment="1" applyProtection="1">
      <alignment horizontal="center"/>
      <protection/>
    </xf>
    <xf numFmtId="44" fontId="1" fillId="0" borderId="6" xfId="17" applyFont="1" applyBorder="1" applyAlignment="1" applyProtection="1">
      <alignment horizontal="center" wrapText="1"/>
      <protection/>
    </xf>
    <xf numFmtId="44" fontId="13" fillId="0" borderId="6" xfId="17" applyFont="1" applyBorder="1" applyAlignment="1" applyProtection="1">
      <alignment horizontal="center" wrapText="1"/>
      <protection/>
    </xf>
    <xf numFmtId="44" fontId="13" fillId="0" borderId="51" xfId="17" applyFont="1" applyBorder="1" applyAlignment="1" applyProtection="1">
      <alignment horizontal="center" wrapText="1"/>
      <protection/>
    </xf>
    <xf numFmtId="44" fontId="13" fillId="0" borderId="82" xfId="17" applyFont="1" applyBorder="1" applyAlignment="1" applyProtection="1">
      <alignment horizontal="center" wrapText="1"/>
      <protection/>
    </xf>
    <xf numFmtId="0" fontId="1" fillId="0" borderId="58" xfId="0" applyFont="1" applyBorder="1" applyAlignment="1" applyProtection="1">
      <alignment horizontal="left"/>
      <protection/>
    </xf>
    <xf numFmtId="0" fontId="0" fillId="0" borderId="34" xfId="0" applyBorder="1" applyAlignment="1" applyProtection="1">
      <alignment horizontal="center"/>
      <protection/>
    </xf>
    <xf numFmtId="44" fontId="18" fillId="12" borderId="90" xfId="17" applyFont="1" applyFill="1" applyBorder="1" applyAlignment="1" applyProtection="1">
      <alignment horizontal="center"/>
      <protection/>
    </xf>
    <xf numFmtId="166" fontId="0" fillId="3" borderId="68" xfId="0" applyNumberFormat="1" applyFill="1" applyBorder="1" applyAlignment="1" applyProtection="1">
      <alignment horizontal="center"/>
      <protection/>
    </xf>
    <xf numFmtId="1" fontId="0" fillId="3" borderId="147" xfId="0" applyNumberFormat="1" applyFill="1" applyBorder="1" applyAlignment="1" applyProtection="1">
      <alignment horizontal="center"/>
      <protection/>
    </xf>
    <xf numFmtId="0" fontId="18" fillId="14" borderId="45" xfId="0" applyFont="1" applyFill="1" applyBorder="1" applyAlignment="1" applyProtection="1">
      <alignment horizontal="center"/>
      <protection/>
    </xf>
    <xf numFmtId="1" fontId="18" fillId="14" borderId="166" xfId="0" applyNumberFormat="1" applyFont="1" applyFill="1" applyBorder="1" applyAlignment="1" applyProtection="1">
      <alignment horizontal="center" wrapText="1"/>
      <protection/>
    </xf>
    <xf numFmtId="1" fontId="18" fillId="14" borderId="167" xfId="0" applyNumberFormat="1" applyFont="1" applyFill="1" applyBorder="1" applyAlignment="1" applyProtection="1">
      <alignment horizontal="center" wrapText="1"/>
      <protection/>
    </xf>
    <xf numFmtId="44" fontId="23" fillId="14" borderId="166" xfId="17" applyFont="1" applyFill="1" applyBorder="1" applyAlignment="1" applyProtection="1">
      <alignment horizontal="center" wrapText="1"/>
      <protection/>
    </xf>
    <xf numFmtId="44" fontId="23" fillId="14" borderId="168" xfId="17" applyFont="1" applyFill="1" applyBorder="1" applyAlignment="1" applyProtection="1">
      <alignment horizontal="center" wrapText="1"/>
      <protection/>
    </xf>
    <xf numFmtId="44" fontId="23" fillId="14" borderId="169" xfId="17" applyFont="1" applyFill="1" applyBorder="1" applyAlignment="1" applyProtection="1">
      <alignment horizontal="center" wrapText="1"/>
      <protection/>
    </xf>
    <xf numFmtId="0" fontId="1" fillId="13" borderId="44" xfId="0" applyFont="1" applyFill="1" applyBorder="1" applyAlignment="1" applyProtection="1">
      <alignment horizontal="center"/>
      <protection/>
    </xf>
    <xf numFmtId="0" fontId="0" fillId="0" borderId="34" xfId="0" applyBorder="1" applyAlignment="1" applyProtection="1">
      <alignment/>
      <protection/>
    </xf>
    <xf numFmtId="0" fontId="1" fillId="13" borderId="57" xfId="0" applyFont="1" applyFill="1" applyBorder="1" applyAlignment="1" applyProtection="1">
      <alignment horizontal="left"/>
      <protection/>
    </xf>
    <xf numFmtId="166" fontId="21" fillId="11" borderId="30" xfId="0" applyNumberFormat="1" applyFont="1" applyFill="1" applyBorder="1" applyAlignment="1" applyProtection="1">
      <alignment horizontal="center"/>
      <protection/>
    </xf>
    <xf numFmtId="1" fontId="21" fillId="11" borderId="30" xfId="0" applyNumberFormat="1" applyFont="1" applyFill="1" applyBorder="1" applyAlignment="1" applyProtection="1">
      <alignment horizontal="center"/>
      <protection/>
    </xf>
    <xf numFmtId="0" fontId="21" fillId="11" borderId="30" xfId="0" applyFont="1" applyFill="1" applyBorder="1" applyAlignment="1" applyProtection="1">
      <alignment horizontal="center"/>
      <protection/>
    </xf>
    <xf numFmtId="1" fontId="21" fillId="11" borderId="83" xfId="0" applyNumberFormat="1" applyFont="1" applyFill="1" applyBorder="1" applyAlignment="1" applyProtection="1">
      <alignment horizontal="center"/>
      <protection/>
    </xf>
    <xf numFmtId="0" fontId="1" fillId="0" borderId="22" xfId="0" applyFont="1" applyFill="1" applyBorder="1" applyAlignment="1" applyProtection="1">
      <alignment horizontal="center"/>
      <protection/>
    </xf>
    <xf numFmtId="166" fontId="21" fillId="11" borderId="154" xfId="0" applyNumberFormat="1" applyFont="1" applyFill="1" applyBorder="1" applyAlignment="1" applyProtection="1">
      <alignment horizontal="center"/>
      <protection/>
    </xf>
    <xf numFmtId="1" fontId="21" fillId="11" borderId="154" xfId="0" applyNumberFormat="1" applyFont="1" applyFill="1" applyBorder="1" applyAlignment="1" applyProtection="1">
      <alignment horizontal="center"/>
      <protection/>
    </xf>
    <xf numFmtId="0" fontId="21" fillId="11" borderId="154" xfId="0" applyFont="1" applyFill="1" applyBorder="1" applyAlignment="1" applyProtection="1">
      <alignment horizontal="center"/>
      <protection/>
    </xf>
    <xf numFmtId="1" fontId="21" fillId="11" borderId="155" xfId="0" applyNumberFormat="1" applyFont="1" applyFill="1" applyBorder="1" applyAlignment="1" applyProtection="1">
      <alignment horizontal="center"/>
      <protection/>
    </xf>
    <xf numFmtId="1" fontId="0" fillId="2" borderId="3" xfId="0" applyNumberFormat="1" applyFill="1" applyBorder="1" applyAlignment="1" applyProtection="1">
      <alignment horizontal="center"/>
      <protection/>
    </xf>
    <xf numFmtId="1" fontId="1" fillId="13" borderId="23" xfId="0" applyNumberFormat="1" applyFont="1" applyFill="1" applyBorder="1" applyAlignment="1" applyProtection="1">
      <alignment horizontal="center"/>
      <protection/>
    </xf>
    <xf numFmtId="0" fontId="18" fillId="12" borderId="170" xfId="0" applyFont="1" applyFill="1" applyBorder="1" applyAlignment="1" applyProtection="1">
      <alignment horizontal="left" wrapText="1" indent="3"/>
      <protection/>
    </xf>
    <xf numFmtId="0" fontId="0" fillId="0" borderId="8" xfId="0" applyFont="1" applyBorder="1" applyAlignment="1" applyProtection="1">
      <alignment horizontal="left"/>
      <protection/>
    </xf>
    <xf numFmtId="0" fontId="1" fillId="13" borderId="171" xfId="0" applyFont="1" applyFill="1" applyBorder="1" applyAlignment="1" applyProtection="1">
      <alignment horizontal="left"/>
      <protection/>
    </xf>
    <xf numFmtId="0" fontId="0" fillId="0" borderId="172" xfId="0" applyBorder="1" applyAlignment="1" applyProtection="1">
      <alignment/>
      <protection/>
    </xf>
    <xf numFmtId="0" fontId="18" fillId="11" borderId="173" xfId="0" applyFont="1" applyFill="1" applyBorder="1" applyAlignment="1" applyProtection="1">
      <alignment horizontal="left" wrapText="1" indent="2"/>
      <protection/>
    </xf>
    <xf numFmtId="0" fontId="18" fillId="11" borderId="145" xfId="0" applyFont="1" applyFill="1" applyBorder="1" applyAlignment="1" applyProtection="1">
      <alignment horizontal="left" wrapText="1" indent="2"/>
      <protection/>
    </xf>
    <xf numFmtId="0" fontId="18" fillId="12" borderId="173" xfId="0" applyFont="1" applyFill="1" applyBorder="1" applyAlignment="1" applyProtection="1">
      <alignment horizontal="left" wrapText="1" indent="3"/>
      <protection/>
    </xf>
    <xf numFmtId="0" fontId="21" fillId="12" borderId="145" xfId="0" applyFont="1" applyFill="1" applyBorder="1" applyAlignment="1" applyProtection="1">
      <alignment horizontal="left" wrapText="1" indent="3"/>
      <protection/>
    </xf>
    <xf numFmtId="0" fontId="0" fillId="0" borderId="22" xfId="0" applyFill="1" applyBorder="1" applyAlignment="1" applyProtection="1">
      <alignment horizontal="center"/>
      <protection/>
    </xf>
    <xf numFmtId="0" fontId="18" fillId="12" borderId="97" xfId="0" applyFont="1" applyFill="1" applyBorder="1" applyAlignment="1" applyProtection="1">
      <alignment horizontal="left" indent="3"/>
      <protection/>
    </xf>
    <xf numFmtId="0" fontId="0" fillId="0" borderId="41" xfId="0" applyBorder="1" applyAlignment="1" applyProtection="1">
      <alignment horizontal="left" indent="3"/>
      <protection/>
    </xf>
    <xf numFmtId="1" fontId="1" fillId="13" borderId="22" xfId="0" applyNumberFormat="1" applyFont="1" applyFill="1" applyBorder="1" applyAlignment="1" applyProtection="1">
      <alignment horizontal="center"/>
      <protection/>
    </xf>
    <xf numFmtId="0" fontId="21" fillId="12" borderId="41" xfId="0" applyFont="1" applyFill="1" applyBorder="1" applyAlignment="1" applyProtection="1">
      <alignment horizontal="left" indent="3"/>
      <protection/>
    </xf>
    <xf numFmtId="0" fontId="21" fillId="12" borderId="149" xfId="0" applyFont="1" applyFill="1" applyBorder="1" applyAlignment="1" applyProtection="1">
      <alignment horizontal="left" indent="3"/>
      <protection/>
    </xf>
    <xf numFmtId="0" fontId="0" fillId="0" borderId="8" xfId="0" applyFill="1" applyBorder="1" applyAlignment="1" applyProtection="1">
      <alignment horizontal="left" wrapText="1"/>
      <protection/>
    </xf>
    <xf numFmtId="0" fontId="0" fillId="0" borderId="40" xfId="0" applyBorder="1" applyAlignment="1" applyProtection="1">
      <alignment horizontal="center"/>
      <protection/>
    </xf>
    <xf numFmtId="0" fontId="19" fillId="27" borderId="40" xfId="0" applyFont="1" applyFill="1" applyBorder="1" applyAlignment="1" applyProtection="1">
      <alignment horizontal="center"/>
      <protection/>
    </xf>
    <xf numFmtId="0" fontId="19" fillId="27" borderId="37" xfId="0" applyFont="1" applyFill="1" applyBorder="1" applyAlignment="1" applyProtection="1">
      <alignment horizontal="center"/>
      <protection/>
    </xf>
    <xf numFmtId="0" fontId="0" fillId="18" borderId="0" xfId="0" applyFill="1" applyAlignment="1" applyProtection="1">
      <alignment horizontal="left" wrapText="1"/>
      <protection/>
    </xf>
    <xf numFmtId="49" fontId="0" fillId="18" borderId="0" xfId="0" applyNumberFormat="1" applyFill="1" applyAlignment="1" applyProtection="1">
      <alignment horizontal="center"/>
      <protection/>
    </xf>
    <xf numFmtId="1" fontId="1" fillId="18" borderId="0" xfId="0" applyNumberFormat="1" applyFont="1" applyFill="1" applyAlignment="1" applyProtection="1">
      <alignment horizontal="center"/>
      <protection/>
    </xf>
    <xf numFmtId="44" fontId="0" fillId="18" borderId="0" xfId="17" applyFill="1" applyAlignment="1" applyProtection="1">
      <alignment/>
      <protection/>
    </xf>
    <xf numFmtId="0" fontId="0" fillId="2" borderId="38" xfId="0" applyFill="1" applyBorder="1" applyAlignment="1" applyProtection="1">
      <alignment/>
      <protection locked="0"/>
    </xf>
    <xf numFmtId="0" fontId="0" fillId="2" borderId="19" xfId="0" applyFill="1" applyBorder="1" applyAlignment="1" applyProtection="1">
      <alignment/>
      <protection locked="0"/>
    </xf>
    <xf numFmtId="0" fontId="0" fillId="2" borderId="54" xfId="0" applyFill="1" applyBorder="1" applyAlignment="1" applyProtection="1">
      <alignment/>
      <protection locked="0"/>
    </xf>
    <xf numFmtId="0" fontId="0" fillId="2" borderId="110" xfId="0" applyFill="1" applyBorder="1" applyAlignment="1" applyProtection="1">
      <alignment/>
      <protection locked="0"/>
    </xf>
    <xf numFmtId="44" fontId="18" fillId="28" borderId="92" xfId="17" applyFont="1" applyFill="1" applyBorder="1" applyAlignment="1" applyProtection="1">
      <alignment horizontal="center"/>
      <protection locked="0"/>
    </xf>
    <xf numFmtId="44" fontId="18" fillId="12" borderId="92" xfId="17" applyFont="1" applyFill="1" applyBorder="1" applyAlignment="1" applyProtection="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DFPlanImp99073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 Id="rId2" Type="http://schemas.openxmlformats.org/officeDocument/2006/relationships/image" Target="../media/image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Months of Basic Food Storage</a:t>
            </a:r>
          </a:p>
        </c:rich>
      </c:tx>
      <c:layout>
        <c:manualLayout>
          <c:xMode val="factor"/>
          <c:yMode val="factor"/>
          <c:x val="0"/>
          <c:y val="-0.02125"/>
        </c:manualLayout>
      </c:layout>
      <c:spPr>
        <a:noFill/>
        <a:ln>
          <a:noFill/>
        </a:ln>
      </c:spPr>
    </c:title>
    <c:plotArea>
      <c:layout>
        <c:manualLayout>
          <c:xMode val="edge"/>
          <c:yMode val="edge"/>
          <c:x val="0.03775"/>
          <c:y val="0.04"/>
          <c:w val="0.9505"/>
          <c:h val="0.96"/>
        </c:manualLayout>
      </c:layout>
      <c:barChart>
        <c:barDir val="col"/>
        <c:grouping val="clustered"/>
        <c:varyColors val="0"/>
        <c:ser>
          <c:idx val="0"/>
          <c:order val="0"/>
          <c:tx>
            <c:v>Categories</c:v>
          </c:tx>
          <c:invertIfNegative val="0"/>
          <c:extLst>
            <c:ext xmlns:c14="http://schemas.microsoft.com/office/drawing/2007/8/2/chart" uri="{6F2FDCE9-48DA-4B69-8628-5D25D57E5C99}">
              <c14:invertSolidFillFmt>
                <c14:spPr>
                  <a:solidFill>
                    <a:srgbClr val="000000"/>
                  </a:solidFill>
                </c14:spPr>
              </c14:invertSolidFillFmt>
            </c:ext>
          </c:extLst>
          <c:cat>
            <c:strRef>
              <c:f>'Storage Summary'!$B$6:$B$12</c:f>
              <c:strCache>
                <c:ptCount val="7"/>
                <c:pt idx="0">
                  <c:v>Wheat, Other Whole Grains &amp; Flours</c:v>
                </c:pt>
                <c:pt idx="1">
                  <c:v>Legumes (dry beans, peas, lentils)</c:v>
                </c:pt>
                <c:pt idx="2">
                  <c:v>Powdered Milk, Dairy Products, &amp; Eggs</c:v>
                </c:pt>
                <c:pt idx="3">
                  <c:v>Sweeteners - Honey, Sugar, &amp; Syrup</c:v>
                </c:pt>
                <c:pt idx="4">
                  <c:v>Cooking Catalyst</c:v>
                </c:pt>
                <c:pt idx="5">
                  <c:v>Sprouting Seeds &amp; Supplies</c:v>
                </c:pt>
                <c:pt idx="6">
                  <c:v>Other Church Offered Food Storage Items and Additional Misc. Items</c:v>
                </c:pt>
              </c:strCache>
            </c:strRef>
          </c:cat>
          <c:val>
            <c:numRef>
              <c:f>'Storage Summary'!$H$6:$H$12</c:f>
              <c:numCache>
                <c:ptCount val="7"/>
                <c:pt idx="0">
                  <c:v>0</c:v>
                </c:pt>
                <c:pt idx="1">
                  <c:v>0</c:v>
                </c:pt>
                <c:pt idx="2">
                  <c:v>0</c:v>
                </c:pt>
                <c:pt idx="3">
                  <c:v>0</c:v>
                </c:pt>
                <c:pt idx="4">
                  <c:v>0</c:v>
                </c:pt>
                <c:pt idx="5">
                  <c:v>0</c:v>
                </c:pt>
                <c:pt idx="6">
                  <c:v>0</c:v>
                </c:pt>
              </c:numCache>
            </c:numRef>
          </c:val>
        </c:ser>
        <c:axId val="57964647"/>
        <c:axId val="51919776"/>
      </c:barChart>
      <c:catAx>
        <c:axId val="57964647"/>
        <c:scaling>
          <c:orientation val="minMax"/>
        </c:scaling>
        <c:axPos val="b"/>
        <c:delete val="0"/>
        <c:numFmt formatCode="General" sourceLinked="1"/>
        <c:majorTickMark val="out"/>
        <c:minorTickMark val="none"/>
        <c:tickLblPos val="nextTo"/>
        <c:txPr>
          <a:bodyPr vert="horz" rot="0"/>
          <a:lstStyle/>
          <a:p>
            <a:pPr>
              <a:defRPr lang="en-US" cap="none" sz="1200" b="1" i="0" u="none" baseline="0">
                <a:latin typeface="Arial"/>
                <a:ea typeface="Arial"/>
                <a:cs typeface="Arial"/>
              </a:defRPr>
            </a:pPr>
          </a:p>
        </c:txPr>
        <c:crossAx val="51919776"/>
        <c:crosses val="autoZero"/>
        <c:auto val="1"/>
        <c:lblOffset val="0"/>
        <c:noMultiLvlLbl val="0"/>
      </c:catAx>
      <c:valAx>
        <c:axId val="51919776"/>
        <c:scaling>
          <c:orientation val="minMax"/>
          <c:max val="12"/>
          <c:min val="0"/>
        </c:scaling>
        <c:axPos val="l"/>
        <c:title>
          <c:tx>
            <c:rich>
              <a:bodyPr vert="horz" rot="-5400000" anchor="ctr"/>
              <a:lstStyle/>
              <a:p>
                <a:pPr algn="ctr">
                  <a:defRPr/>
                </a:pPr>
                <a:r>
                  <a:rPr lang="en-US" cap="none" sz="1400" b="1" i="0" u="none" baseline="0">
                    <a:latin typeface="Arial"/>
                    <a:ea typeface="Arial"/>
                    <a:cs typeface="Arial"/>
                  </a:rPr>
                  <a:t>Months of Storage</a:t>
                </a:r>
              </a:p>
            </c:rich>
          </c:tx>
          <c:layout>
            <c:manualLayout>
              <c:xMode val="factor"/>
              <c:yMode val="factor"/>
              <c:x val="-0.003"/>
              <c:y val="0.011"/>
            </c:manualLayout>
          </c:layout>
          <c:overlay val="0"/>
          <c:spPr>
            <a:noFill/>
            <a:ln>
              <a:noFill/>
            </a:ln>
          </c:spPr>
        </c:title>
        <c:majorGridlines/>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57964647"/>
        <c:crossesAt val="1"/>
        <c:crossBetween val="between"/>
        <c:dispUnits/>
        <c:majorUnit val="1"/>
        <c:minorUnit val="1"/>
      </c:valAx>
      <c:spPr>
        <a:blipFill>
          <a:blip r:embed="rId2"/>
          <a:srcRect/>
          <a:stretch>
            <a:fillRect/>
          </a:stretch>
        </a:blip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94"/>
  </sheetViews>
  <pageMargins left="0.75" right="0.75" top="1" bottom="1" header="0.5" footer="0.5"/>
  <pageSetup horizontalDpi="600" verticalDpi="600" orientation="landscape"/>
  <headerFooter>
    <oddHeader>&amp;C12 Month Food Storage Summary Chart</oddHeader>
    <oddFooter>&amp;C&amp;D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http://www.lds.or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hyperlink" Target="http://www.quiknet.com/~moseley/colorbook/colorindex.html"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25</xdr:row>
      <xdr:rowOff>38100</xdr:rowOff>
    </xdr:from>
    <xdr:to>
      <xdr:col>11</xdr:col>
      <xdr:colOff>342900</xdr:colOff>
      <xdr:row>50</xdr:row>
      <xdr:rowOff>9525</xdr:rowOff>
    </xdr:to>
    <xdr:sp>
      <xdr:nvSpPr>
        <xdr:cNvPr id="1" name="TextBox 8"/>
        <xdr:cNvSpPr txBox="1">
          <a:spLocks noChangeArrowheads="1"/>
        </xdr:cNvSpPr>
      </xdr:nvSpPr>
      <xdr:spPr>
        <a:xfrm>
          <a:off x="190500" y="5372100"/>
          <a:ext cx="7572375" cy="401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Instructions:</a:t>
          </a:r>
          <a:r>
            <a:rPr lang="en-US" cap="none" sz="1000" b="0" i="0" u="none" baseline="0">
              <a:latin typeface="Arial"/>
              <a:ea typeface="Arial"/>
              <a:cs typeface="Arial"/>
            </a:rPr>
            <a:t>
Do the following in order.
With the exception of the </a:t>
          </a:r>
          <a:r>
            <a:rPr lang="en-US" cap="none" sz="1000" b="0" i="1" u="none" baseline="0">
              <a:latin typeface="Arial"/>
              <a:ea typeface="Arial"/>
              <a:cs typeface="Arial"/>
            </a:rPr>
            <a:t>Basic Inventory Sheet</a:t>
          </a:r>
          <a:r>
            <a:rPr lang="en-US" cap="none" sz="1000" b="0" i="0" u="none" baseline="0">
              <a:latin typeface="Arial"/>
              <a:ea typeface="Arial"/>
              <a:cs typeface="Arial"/>
            </a:rPr>
            <a:t>, all editable fields are in bright yellow. All other fields are automatically calculated.</a:t>
          </a:r>
          <a:r>
            <a:rPr lang="en-US" cap="none" sz="1000" b="0" i="0" u="none" baseline="0">
              <a:latin typeface="Arial"/>
              <a:ea typeface="Arial"/>
              <a:cs typeface="Arial"/>
            </a:rPr>
            <a:t>
1) </a:t>
          </a:r>
          <a:r>
            <a:rPr lang="en-US" cap="none" sz="1000" b="1" i="0" u="none" baseline="0">
              <a:latin typeface="Arial"/>
              <a:ea typeface="Arial"/>
              <a:cs typeface="Arial"/>
            </a:rPr>
            <a:t>Family Calculator Sheet</a:t>
          </a:r>
          <a:r>
            <a:rPr lang="en-US" cap="none" sz="1000" b="0" i="0" u="none" baseline="0">
              <a:latin typeface="Arial"/>
              <a:ea typeface="Arial"/>
              <a:cs typeface="Arial"/>
            </a:rPr>
            <a:t> - Enter number of family members in each age category on the </a:t>
          </a:r>
          <a:r>
            <a:rPr lang="en-US" cap="none" sz="1000" b="0" i="1" u="none" baseline="0">
              <a:latin typeface="Arial"/>
              <a:ea typeface="Arial"/>
              <a:cs typeface="Arial"/>
            </a:rPr>
            <a:t>Family Calculator Sheet</a:t>
          </a:r>
          <a:r>
            <a:rPr lang="en-US" cap="none" sz="1000" b="0" i="0" u="none" baseline="0">
              <a:latin typeface="Arial"/>
              <a:ea typeface="Arial"/>
              <a:cs typeface="Arial"/>
            </a:rPr>
            <a:t>. The </a:t>
          </a:r>
          <a:r>
            <a:rPr lang="en-US" cap="none" sz="1000" b="0" i="1" u="none" baseline="0">
              <a:latin typeface="Arial"/>
              <a:ea typeface="Arial"/>
              <a:cs typeface="Arial"/>
            </a:rPr>
            <a:t>Scaling Points</a:t>
          </a:r>
          <a:r>
            <a:rPr lang="en-US" cap="none" sz="1000" b="0" i="0" u="none" baseline="0">
              <a:latin typeface="Arial"/>
              <a:ea typeface="Arial"/>
              <a:cs typeface="Arial"/>
            </a:rPr>
            <a:t> can be customized.
2) </a:t>
          </a:r>
          <a:r>
            <a:rPr lang="en-US" cap="none" sz="1000" b="1" i="0" u="none" baseline="0">
              <a:latin typeface="Arial"/>
              <a:ea typeface="Arial"/>
              <a:cs typeface="Arial"/>
            </a:rPr>
            <a:t>Storage Summary Sheet</a:t>
          </a:r>
          <a:r>
            <a:rPr lang="en-US" cap="none" sz="1000" b="0" i="0" u="none" baseline="0">
              <a:latin typeface="Arial"/>
              <a:ea typeface="Arial"/>
              <a:cs typeface="Arial"/>
            </a:rPr>
            <a:t> -  Adult Quantity Goal amounts for each category vary depending on the sources  listed in the bottom chart. You are able to customize the categories. Pick the source for Adult Quantity Goal amount you wish to use. These values are updated as the minimum Adult Goal in the </a:t>
          </a:r>
          <a:r>
            <a:rPr lang="en-US" cap="none" sz="1000" b="0" i="1" u="none" baseline="0">
              <a:latin typeface="Arial"/>
              <a:ea typeface="Arial"/>
              <a:cs typeface="Arial"/>
            </a:rPr>
            <a:t>Basic Goals Sheet.</a:t>
          </a:r>
          <a:r>
            <a:rPr lang="en-US" cap="none" sz="1000" b="0" i="0" u="none" baseline="0">
              <a:latin typeface="Arial"/>
              <a:ea typeface="Arial"/>
              <a:cs typeface="Arial"/>
            </a:rPr>
            <a:t>
3) </a:t>
          </a:r>
          <a:r>
            <a:rPr lang="en-US" cap="none" sz="1000" b="1" i="0" u="none" baseline="0">
              <a:latin typeface="Arial"/>
              <a:ea typeface="Arial"/>
              <a:cs typeface="Arial"/>
            </a:rPr>
            <a:t>Goals, Inventory, Budget Sheet</a:t>
          </a:r>
          <a:r>
            <a:rPr lang="en-US" cap="none" sz="1000" b="0" i="0" u="none" baseline="0">
              <a:latin typeface="Arial"/>
              <a:ea typeface="Arial"/>
              <a:cs typeface="Arial"/>
            </a:rPr>
            <a:t> - 
    </a:t>
          </a:r>
          <a:r>
            <a:rPr lang="en-US" cap="none" sz="1000" b="0" i="0" u="none" baseline="0">
              <a:latin typeface="Arial"/>
              <a:ea typeface="Arial"/>
              <a:cs typeface="Arial"/>
            </a:rPr>
            <a:t>Select</a:t>
          </a:r>
          <a:r>
            <a:rPr lang="en-US" cap="none" sz="1000" b="1" i="0" u="none" baseline="0">
              <a:latin typeface="Arial"/>
              <a:ea typeface="Arial"/>
              <a:cs typeface="Arial"/>
            </a:rPr>
            <a:t> Category </a:t>
          </a:r>
          <a:r>
            <a:rPr lang="en-US" cap="none" sz="1000" b="0" i="0" u="none" baseline="0">
              <a:latin typeface="Arial"/>
              <a:ea typeface="Arial"/>
              <a:cs typeface="Arial"/>
            </a:rPr>
            <a:t>&amp;</a:t>
          </a:r>
          <a:r>
            <a:rPr lang="en-US" cap="none" sz="1000" b="1" i="0" u="none" baseline="0">
              <a:latin typeface="Arial"/>
              <a:ea typeface="Arial"/>
              <a:cs typeface="Arial"/>
            </a:rPr>
            <a:t> View</a:t>
          </a:r>
          <a:r>
            <a:rPr lang="en-US" cap="none" sz="1000" b="0" i="0" u="none" baseline="0">
              <a:latin typeface="Arial"/>
              <a:ea typeface="Arial"/>
              <a:cs typeface="Arial"/>
            </a:rPr>
            <a:t> at the top of the page</a:t>
          </a:r>
          <a:r>
            <a:rPr lang="en-US" cap="none" sz="1000" b="1" i="0" u="none" baseline="0">
              <a:latin typeface="Arial"/>
              <a:ea typeface="Arial"/>
              <a:cs typeface="Arial"/>
            </a:rPr>
            <a:t>
   Goals &amp; Review View -</a:t>
          </a:r>
          <a:r>
            <a:rPr lang="en-US" cap="none" sz="1000" b="0" i="0" u="none" baseline="0">
              <a:latin typeface="Arial"/>
              <a:ea typeface="Arial"/>
              <a:cs typeface="Arial"/>
            </a:rPr>
            <a:t>
Pick adult quantity goal amounts for each item in each sub-catagory for each major category.</a:t>
          </a:r>
          <a:r>
            <a:rPr lang="en-US" cap="none" sz="1000" b="0" i="1" u="none" baseline="0">
              <a:latin typeface="Arial"/>
              <a:ea typeface="Arial"/>
              <a:cs typeface="Arial"/>
            </a:rPr>
            <a:t> </a:t>
          </a:r>
          <a:r>
            <a:rPr lang="en-US" cap="none" sz="1000" b="0" i="0" u="none" baseline="0">
              <a:latin typeface="Arial"/>
              <a:ea typeface="Arial"/>
              <a:cs typeface="Arial"/>
            </a:rPr>
            <a:t>Pick the foods you wish to store. The items are editable to your families needs and desires. All item names edited on this page are automatically updated throughout the program. Also enter the average shelf life.
 </a:t>
          </a:r>
          <a:r>
            <a:rPr lang="en-US" cap="none" sz="1000" b="1" i="0" u="none" baseline="0">
              <a:latin typeface="Arial"/>
              <a:ea typeface="Arial"/>
              <a:cs typeface="Arial"/>
            </a:rPr>
            <a:t>  Inventory View </a:t>
          </a:r>
          <a:r>
            <a:rPr lang="en-US" cap="none" sz="1000" b="0" i="0" u="none" baseline="0">
              <a:latin typeface="Arial"/>
              <a:ea typeface="Arial"/>
              <a:cs typeface="Arial"/>
            </a:rPr>
            <a:t>- 
Enter amounts you have in your storage for each food item and for each type of container in the. Also enter the units per container.
After selecting a category, print the page (Ctrl+p) to print a form to record your inventory. (You can print similar forms for each view).
   </a:t>
          </a:r>
          <a:r>
            <a:rPr lang="en-US" cap="none" sz="1000" b="1" i="0" u="none" baseline="0">
              <a:latin typeface="Arial"/>
              <a:ea typeface="Arial"/>
              <a:cs typeface="Arial"/>
            </a:rPr>
            <a:t>Budget View</a:t>
          </a:r>
          <a:r>
            <a:rPr lang="en-US" cap="none" sz="1000" b="0" i="0" u="none" baseline="0">
              <a:latin typeface="Arial"/>
              <a:ea typeface="Arial"/>
              <a:cs typeface="Arial"/>
            </a:rPr>
            <a:t> - 
Enter the estimated cost per unit for each item you plan on storing. This will help you know how much to budget for 3, 6, and 12 months of storage for each item.
4) </a:t>
          </a:r>
          <a:r>
            <a:rPr lang="en-US" cap="none" sz="1000" b="1" i="0" u="none" baseline="0">
              <a:latin typeface="Arial"/>
              <a:ea typeface="Arial"/>
              <a:cs typeface="Arial"/>
            </a:rPr>
            <a:t>Storage Summary and 12 Month Summary Chart Sheets </a:t>
          </a:r>
          <a:r>
            <a:rPr lang="en-US" cap="none" sz="1000" b="0" i="0" u="none" baseline="0">
              <a:latin typeface="Arial"/>
              <a:ea typeface="Arial"/>
              <a:cs typeface="Arial"/>
            </a:rPr>
            <a:t>-Review storage, comparing inventory with 12 month, 6 month, and 3 month goals and total budget needed on the </a:t>
          </a:r>
          <a:r>
            <a:rPr lang="en-US" cap="none" sz="1000" b="0" i="1" u="none" baseline="0">
              <a:latin typeface="Arial"/>
              <a:ea typeface="Arial"/>
              <a:cs typeface="Arial"/>
            </a:rPr>
            <a:t>Storage Summary </a:t>
          </a:r>
          <a:r>
            <a:rPr lang="en-US" cap="none" sz="1000" b="0" i="0" u="none" baseline="0">
              <a:latin typeface="Arial"/>
              <a:ea typeface="Arial"/>
              <a:cs typeface="Arial"/>
            </a:rPr>
            <a:t>and</a:t>
          </a:r>
          <a:r>
            <a:rPr lang="en-US" cap="none" sz="1000" b="0" i="1" u="none" baseline="0">
              <a:latin typeface="Arial"/>
              <a:ea typeface="Arial"/>
              <a:cs typeface="Arial"/>
            </a:rPr>
            <a:t> 12 Month Summary Chart Sheets</a:t>
          </a:r>
          <a:r>
            <a:rPr lang="en-US" cap="none" sz="1000" b="0" i="0" u="none" baseline="0">
              <a:latin typeface="Arial"/>
              <a:ea typeface="Arial"/>
              <a:cs typeface="Arial"/>
            </a:rPr>
            <a:t>.
Unlock the Formulas, select Tools-&gt;Protection-&gt;Unprotect Sheet (There is no password).
</a:t>
          </a:r>
        </a:p>
      </xdr:txBody>
    </xdr:sp>
    <xdr:clientData/>
  </xdr:twoCellAnchor>
  <xdr:twoCellAnchor editAs="absolute">
    <xdr:from>
      <xdr:col>6</xdr:col>
      <xdr:colOff>38100</xdr:colOff>
      <xdr:row>6</xdr:row>
      <xdr:rowOff>38100</xdr:rowOff>
    </xdr:from>
    <xdr:to>
      <xdr:col>11</xdr:col>
      <xdr:colOff>342900</xdr:colOff>
      <xdr:row>25</xdr:row>
      <xdr:rowOff>38100</xdr:rowOff>
    </xdr:to>
    <xdr:sp>
      <xdr:nvSpPr>
        <xdr:cNvPr id="2" name="TextBox 9"/>
        <xdr:cNvSpPr txBox="1">
          <a:spLocks noChangeArrowheads="1"/>
        </xdr:cNvSpPr>
      </xdr:nvSpPr>
      <xdr:spPr>
        <a:xfrm>
          <a:off x="4248150" y="1247775"/>
          <a:ext cx="3514725" cy="412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Ackowledgements:</a:t>
          </a:r>
          <a:r>
            <a:rPr lang="en-US" cap="none" sz="1000" b="0" i="0" u="none" baseline="0">
              <a:latin typeface="Arial"/>
              <a:ea typeface="Arial"/>
              <a:cs typeface="Arial"/>
            </a:rPr>
            <a:t>
Much of the category organization has made following the book "Making the Best of Basics: Family Preparedness Handbook" by James Talmage Stevens. Publisher: Origin Books Sales, Inc.; 10th edition (July 1997). ISBN: 1882723252.
</a:t>
          </a:r>
          <a:r>
            <a:rPr lang="en-US" cap="none" sz="800" b="0" i="0" u="none" baseline="0">
              <a:latin typeface="Arial"/>
              <a:ea typeface="Arial"/>
              <a:cs typeface="Arial"/>
            </a:rPr>
            <a:t>
</a:t>
          </a:r>
          <a:r>
            <a:rPr lang="en-US" cap="none" sz="1000" b="0" i="0" u="none" baseline="0">
              <a:latin typeface="Arial"/>
              <a:ea typeface="Arial"/>
              <a:cs typeface="Arial"/>
            </a:rPr>
            <a:t>This book is a wonderful resource for organizing, planning, and using your food storage. Although this program was made without the collaboration of James Talmage Stevens or the publishers of Making the Best of Basics", the authors of this program highly recommend "Making the Best of Basics" as a reference for your library. 
In addition to catagorizing your food storage following "Making the Best of Basics", this program will allow you to keep track of your inventory, estimate the minimum usage rate of your food storage (use it or lose it!), and budget food storage purchases  in 3, 6, and 12 month increments.
This program was written by Daniel and Heidi Bartholomeusz.
This program can be edited and distributed as long as the distributions are free of charge.
Questions: Please contact dab2@utah.edu</a:t>
          </a:r>
        </a:p>
      </xdr:txBody>
    </xdr:sp>
    <xdr:clientData/>
  </xdr:twoCellAnchor>
  <xdr:twoCellAnchor>
    <xdr:from>
      <xdr:col>1</xdr:col>
      <xdr:colOff>9525</xdr:colOff>
      <xdr:row>22</xdr:row>
      <xdr:rowOff>9525</xdr:rowOff>
    </xdr:from>
    <xdr:to>
      <xdr:col>6</xdr:col>
      <xdr:colOff>19050</xdr:colOff>
      <xdr:row>25</xdr:row>
      <xdr:rowOff>38100</xdr:rowOff>
    </xdr:to>
    <xdr:sp>
      <xdr:nvSpPr>
        <xdr:cNvPr id="3" name="TextBox 10">
          <a:hlinkClick r:id="rId1"/>
        </xdr:cNvPr>
        <xdr:cNvSpPr txBox="1">
          <a:spLocks noChangeArrowheads="1"/>
        </xdr:cNvSpPr>
      </xdr:nvSpPr>
      <xdr:spPr>
        <a:xfrm>
          <a:off x="190500" y="4857750"/>
          <a:ext cx="403860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For other resources, go to www.providentliving.org, or select "Provident Living" at the website for The Church of Jesus Christ of Latter-Day Saints (www.lds.org).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1</xdr:row>
      <xdr:rowOff>9525</xdr:rowOff>
    </xdr:from>
    <xdr:to>
      <xdr:col>6</xdr:col>
      <xdr:colOff>38100</xdr:colOff>
      <xdr:row>2</xdr:row>
      <xdr:rowOff>9525</xdr:rowOff>
    </xdr:to>
    <xdr:pic>
      <xdr:nvPicPr>
        <xdr:cNvPr id="1" name="CBoxCategory"/>
        <xdr:cNvPicPr preferRelativeResize="1">
          <a:picLocks noChangeAspect="1"/>
        </xdr:cNvPicPr>
      </xdr:nvPicPr>
      <xdr:blipFill>
        <a:blip r:embed="rId1"/>
        <a:stretch>
          <a:fillRect/>
        </a:stretch>
      </xdr:blipFill>
      <xdr:spPr>
        <a:xfrm>
          <a:off x="247650" y="333375"/>
          <a:ext cx="3771900" cy="219075"/>
        </a:xfrm>
        <a:prstGeom prst="rect">
          <a:avLst/>
        </a:prstGeom>
        <a:noFill/>
        <a:ln w="9525" cmpd="sng">
          <a:noFill/>
        </a:ln>
      </xdr:spPr>
    </xdr:pic>
    <xdr:clientData fLocksWithSheet="0" fPrintsWithSheet="0"/>
  </xdr:twoCellAnchor>
  <xdr:twoCellAnchor editAs="absolute">
    <xdr:from>
      <xdr:col>6</xdr:col>
      <xdr:colOff>371475</xdr:colOff>
      <xdr:row>1</xdr:row>
      <xdr:rowOff>9525</xdr:rowOff>
    </xdr:from>
    <xdr:to>
      <xdr:col>9</xdr:col>
      <xdr:colOff>276225</xdr:colOff>
      <xdr:row>2</xdr:row>
      <xdr:rowOff>9525</xdr:rowOff>
    </xdr:to>
    <xdr:pic>
      <xdr:nvPicPr>
        <xdr:cNvPr id="2" name="CBoxView"/>
        <xdr:cNvPicPr preferRelativeResize="1">
          <a:picLocks noChangeAspect="1"/>
        </xdr:cNvPicPr>
      </xdr:nvPicPr>
      <xdr:blipFill>
        <a:blip r:embed="rId2"/>
        <a:stretch>
          <a:fillRect/>
        </a:stretch>
      </xdr:blipFill>
      <xdr:spPr>
        <a:xfrm>
          <a:off x="4352925" y="333375"/>
          <a:ext cx="1600200" cy="219075"/>
        </a:xfrm>
        <a:prstGeom prst="rect">
          <a:avLst/>
        </a:prstGeom>
        <a:noFill/>
        <a:ln w="9525" cmpd="sng">
          <a:noFill/>
        </a:ln>
      </xdr:spPr>
    </xdr:pic>
    <xdr:clientData fLocksWithSheet="0" fPrintsWithSheet="0"/>
  </xdr:twoCellAnchor>
  <xdr:twoCellAnchor editAs="absolute">
    <xdr:from>
      <xdr:col>2</xdr:col>
      <xdr:colOff>1457325</xdr:colOff>
      <xdr:row>0</xdr:row>
      <xdr:rowOff>38100</xdr:rowOff>
    </xdr:from>
    <xdr:to>
      <xdr:col>3</xdr:col>
      <xdr:colOff>381000</xdr:colOff>
      <xdr:row>0</xdr:row>
      <xdr:rowOff>285750</xdr:rowOff>
    </xdr:to>
    <xdr:sp>
      <xdr:nvSpPr>
        <xdr:cNvPr id="3" name="TextBox 43"/>
        <xdr:cNvSpPr txBox="1">
          <a:spLocks noChangeArrowheads="1"/>
        </xdr:cNvSpPr>
      </xdr:nvSpPr>
      <xdr:spPr>
        <a:xfrm>
          <a:off x="1609725" y="38100"/>
          <a:ext cx="1038225" cy="247650"/>
        </a:xfrm>
        <a:prstGeom prst="rect">
          <a:avLst/>
        </a:prstGeom>
        <a:solidFill>
          <a:srgbClr val="FFFF99"/>
        </a:solidFill>
        <a:ln w="9525" cmpd="sng">
          <a:noFill/>
        </a:ln>
      </xdr:spPr>
      <xdr:txBody>
        <a:bodyPr vertOverflow="clip" wrap="square"/>
        <a:p>
          <a:pPr algn="ctr">
            <a:defRPr/>
          </a:pPr>
          <a:r>
            <a:rPr lang="en-US" cap="none" sz="1400" b="1" i="0" u="none" baseline="0">
              <a:latin typeface="Arial"/>
              <a:ea typeface="Arial"/>
              <a:cs typeface="Arial"/>
            </a:rPr>
            <a:t>Category</a:t>
          </a:r>
        </a:p>
      </xdr:txBody>
    </xdr:sp>
    <xdr:clientData fPrintsWithSheet="0"/>
  </xdr:twoCellAnchor>
  <xdr:twoCellAnchor editAs="absolute">
    <xdr:from>
      <xdr:col>7</xdr:col>
      <xdr:colOff>171450</xdr:colOff>
      <xdr:row>0</xdr:row>
      <xdr:rowOff>38100</xdr:rowOff>
    </xdr:from>
    <xdr:to>
      <xdr:col>8</xdr:col>
      <xdr:colOff>542925</xdr:colOff>
      <xdr:row>0</xdr:row>
      <xdr:rowOff>238125</xdr:rowOff>
    </xdr:to>
    <xdr:sp>
      <xdr:nvSpPr>
        <xdr:cNvPr id="4" name="TextBox 44"/>
        <xdr:cNvSpPr txBox="1">
          <a:spLocks noChangeArrowheads="1"/>
        </xdr:cNvSpPr>
      </xdr:nvSpPr>
      <xdr:spPr>
        <a:xfrm>
          <a:off x="4629150" y="38100"/>
          <a:ext cx="1038225" cy="200025"/>
        </a:xfrm>
        <a:prstGeom prst="rect">
          <a:avLst/>
        </a:prstGeom>
        <a:solidFill>
          <a:srgbClr val="FFFF99"/>
        </a:solidFill>
        <a:ln w="9525" cmpd="sng">
          <a:noFill/>
        </a:ln>
      </xdr:spPr>
      <xdr:txBody>
        <a:bodyPr vertOverflow="clip" wrap="square"/>
        <a:p>
          <a:pPr algn="ctr">
            <a:defRPr/>
          </a:pPr>
          <a:r>
            <a:rPr lang="en-US" cap="none" sz="1400" b="1" i="0" u="none" baseline="0">
              <a:latin typeface="Arial"/>
              <a:ea typeface="Arial"/>
              <a:cs typeface="Arial"/>
            </a:rPr>
            <a:t>View</a:t>
          </a:r>
        </a:p>
      </xdr:txBody>
    </xdr:sp>
    <xdr:clientData fPrint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0.97575</cdr:y>
    </cdr:from>
    <cdr:to>
      <cdr:x>0.38275</cdr:x>
      <cdr:y>0.99875</cdr:y>
    </cdr:to>
    <cdr:sp>
      <cdr:nvSpPr>
        <cdr:cNvPr id="1" name="TextBox 1">
          <a:hlinkClick r:id="rId1"/>
        </cdr:cNvPr>
        <cdr:cNvSpPr txBox="1">
          <a:spLocks noChangeArrowheads="1"/>
        </cdr:cNvSpPr>
      </cdr:nvSpPr>
      <cdr:spPr>
        <a:xfrm>
          <a:off x="9525" y="5781675"/>
          <a:ext cx="33051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Background Picture from Dr. Pat's On-line Pilgrim Coloring Book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videntliving.org/channel/1,11677,1706-1,00.html" TargetMode="External" /><Relationship Id="rId2" Type="http://schemas.openxmlformats.org/officeDocument/2006/relationships/hyperlink" Target="http://www.amazon.com/exec/obidos/tg/detail/-/1882723252/qid=1074013901//ref=sr_8_xs_ap_i0_xgl14/104-4182691-8187147?v=glance&amp;s=books&amp;n=507846"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videntliving.org/emergencyprep/calculator/0,11242,2008-1,00.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B2:K22"/>
  <sheetViews>
    <sheetView tabSelected="1" zoomScale="85" zoomScaleNormal="85" workbookViewId="0" topLeftCell="A1">
      <selection activeCell="C4" sqref="C4"/>
    </sheetView>
  </sheetViews>
  <sheetFormatPr defaultColWidth="9.140625" defaultRowHeight="12.75"/>
  <cols>
    <col min="1" max="1" width="2.7109375" style="198" customWidth="1"/>
    <col min="2" max="2" width="24.7109375" style="288" bestFit="1" customWidth="1"/>
    <col min="3" max="3" width="8.28125" style="288" customWidth="1"/>
    <col min="4" max="4" width="8.57421875" style="288" customWidth="1"/>
    <col min="5" max="5" width="11.140625" style="288" customWidth="1"/>
    <col min="6" max="6" width="7.7109375" style="288" customWidth="1"/>
    <col min="7" max="7" width="13.57421875" style="288" bestFit="1" customWidth="1"/>
    <col min="8" max="8" width="9.140625" style="288" customWidth="1"/>
    <col min="9" max="10" width="8.140625" style="288" customWidth="1"/>
    <col min="11" max="11" width="9.140625" style="288" customWidth="1"/>
    <col min="12" max="16384" width="9.140625" style="198" customWidth="1"/>
  </cols>
  <sheetData>
    <row r="1" ht="13.5" thickBot="1"/>
    <row r="2" spans="2:10" ht="16.5" thickTop="1">
      <c r="B2" s="327" t="s">
        <v>0</v>
      </c>
      <c r="C2" s="328"/>
      <c r="D2" s="328"/>
      <c r="E2" s="329"/>
      <c r="G2" s="330" t="s">
        <v>270</v>
      </c>
      <c r="H2" s="367"/>
      <c r="I2" s="367"/>
      <c r="J2" s="368"/>
    </row>
    <row r="3" spans="2:11" s="199" customFormat="1" ht="26.25" thickBot="1">
      <c r="B3" s="331" t="s">
        <v>1</v>
      </c>
      <c r="C3" s="332" t="s">
        <v>2</v>
      </c>
      <c r="D3" s="333" t="s">
        <v>202</v>
      </c>
      <c r="E3" s="334" t="s">
        <v>3</v>
      </c>
      <c r="F3" s="289"/>
      <c r="G3" s="335" t="s">
        <v>271</v>
      </c>
      <c r="H3" s="369"/>
      <c r="I3" s="369"/>
      <c r="J3" s="370"/>
      <c r="K3" s="289"/>
    </row>
    <row r="4" spans="2:10" ht="12.75">
      <c r="B4" s="336" t="s">
        <v>4</v>
      </c>
      <c r="C4" s="6">
        <v>1</v>
      </c>
      <c r="D4" s="6">
        <v>100</v>
      </c>
      <c r="E4" s="337">
        <f>C4*D4</f>
        <v>100</v>
      </c>
      <c r="G4" s="335" t="s">
        <v>274</v>
      </c>
      <c r="H4" s="369"/>
      <c r="I4" s="369"/>
      <c r="J4" s="370"/>
    </row>
    <row r="5" spans="2:10" ht="12.75">
      <c r="B5" s="338" t="s">
        <v>5</v>
      </c>
      <c r="C5" s="1"/>
      <c r="D5" s="1">
        <v>85</v>
      </c>
      <c r="E5" s="339">
        <f aca="true" t="shared" si="0" ref="E5:E10">C5*D5</f>
        <v>0</v>
      </c>
      <c r="G5" s="340" t="s">
        <v>272</v>
      </c>
      <c r="H5" s="369"/>
      <c r="I5" s="369"/>
      <c r="J5" s="370"/>
    </row>
    <row r="6" spans="2:10" ht="13.5" thickBot="1">
      <c r="B6" s="338" t="s">
        <v>6</v>
      </c>
      <c r="C6" s="1"/>
      <c r="D6" s="1">
        <v>140</v>
      </c>
      <c r="E6" s="339">
        <f t="shared" si="0"/>
        <v>0</v>
      </c>
      <c r="G6" s="341" t="s">
        <v>273</v>
      </c>
      <c r="H6" s="371"/>
      <c r="I6" s="371"/>
      <c r="J6" s="372"/>
    </row>
    <row r="7" spans="2:5" ht="13.5" thickTop="1">
      <c r="B7" s="338" t="s">
        <v>7</v>
      </c>
      <c r="C7" s="1"/>
      <c r="D7" s="1">
        <v>95</v>
      </c>
      <c r="E7" s="339">
        <f t="shared" si="0"/>
        <v>0</v>
      </c>
    </row>
    <row r="8" spans="2:5" ht="12.75">
      <c r="B8" s="338" t="s">
        <v>8</v>
      </c>
      <c r="C8" s="1"/>
      <c r="D8" s="1">
        <v>95</v>
      </c>
      <c r="E8" s="339">
        <f t="shared" si="0"/>
        <v>0</v>
      </c>
    </row>
    <row r="9" spans="2:5" ht="12.75">
      <c r="B9" s="338" t="s">
        <v>9</v>
      </c>
      <c r="C9" s="1"/>
      <c r="D9" s="1">
        <v>75</v>
      </c>
      <c r="E9" s="339">
        <f t="shared" si="0"/>
        <v>0</v>
      </c>
    </row>
    <row r="10" spans="2:5" ht="13.5" thickBot="1">
      <c r="B10" s="342" t="s">
        <v>10</v>
      </c>
      <c r="C10" s="7"/>
      <c r="D10" s="7">
        <v>50</v>
      </c>
      <c r="E10" s="343">
        <f t="shared" si="0"/>
        <v>0</v>
      </c>
    </row>
    <row r="11" spans="2:5" ht="12.75">
      <c r="B11" s="344" t="s">
        <v>11</v>
      </c>
      <c r="C11" s="345"/>
      <c r="D11" s="345"/>
      <c r="E11" s="346">
        <f>SUM(E4:E10)</f>
        <v>100</v>
      </c>
    </row>
    <row r="12" spans="2:5" ht="13.5" thickBot="1">
      <c r="B12" s="347" t="s">
        <v>12</v>
      </c>
      <c r="C12" s="348"/>
      <c r="D12" s="348"/>
      <c r="E12" s="349">
        <f>E11/100</f>
        <v>1</v>
      </c>
    </row>
    <row r="13" spans="7:8" ht="14.25" thickBot="1" thickTop="1">
      <c r="G13" s="289"/>
      <c r="H13" s="202"/>
    </row>
    <row r="14" spans="2:6" ht="13.5" thickBot="1">
      <c r="B14" s="350"/>
      <c r="C14" s="351" t="s">
        <v>205</v>
      </c>
      <c r="D14" s="352"/>
      <c r="E14" s="352"/>
      <c r="F14" s="353"/>
    </row>
    <row r="15" spans="2:6" ht="90" thickBot="1">
      <c r="B15" s="354" t="s">
        <v>1</v>
      </c>
      <c r="C15" s="355" t="s">
        <v>169</v>
      </c>
      <c r="D15" s="356" t="s">
        <v>203</v>
      </c>
      <c r="E15" s="357" t="s">
        <v>207</v>
      </c>
      <c r="F15" s="358" t="s">
        <v>204</v>
      </c>
    </row>
    <row r="16" spans="2:6" ht="12.75">
      <c r="B16" s="359" t="s">
        <v>4</v>
      </c>
      <c r="C16" s="23">
        <v>100</v>
      </c>
      <c r="D16" s="360">
        <v>100</v>
      </c>
      <c r="E16" s="360">
        <v>100</v>
      </c>
      <c r="F16" s="220"/>
    </row>
    <row r="17" spans="2:6" ht="12.75">
      <c r="B17" s="361" t="s">
        <v>5</v>
      </c>
      <c r="C17" s="362">
        <v>85</v>
      </c>
      <c r="D17" s="363">
        <v>100</v>
      </c>
      <c r="E17" s="363">
        <v>70</v>
      </c>
      <c r="F17" s="221"/>
    </row>
    <row r="18" spans="2:6" ht="12.75">
      <c r="B18" s="361" t="s">
        <v>6</v>
      </c>
      <c r="C18" s="362">
        <v>140</v>
      </c>
      <c r="D18" s="363">
        <v>150</v>
      </c>
      <c r="E18" s="363">
        <v>190</v>
      </c>
      <c r="F18" s="221"/>
    </row>
    <row r="19" spans="2:6" ht="12.75">
      <c r="B19" s="361" t="s">
        <v>7</v>
      </c>
      <c r="C19" s="362">
        <v>95</v>
      </c>
      <c r="D19" s="363">
        <v>130</v>
      </c>
      <c r="E19" s="363">
        <v>70</v>
      </c>
      <c r="F19" s="221"/>
    </row>
    <row r="20" spans="2:6" ht="12.75">
      <c r="B20" s="361" t="s">
        <v>8</v>
      </c>
      <c r="C20" s="362">
        <v>95</v>
      </c>
      <c r="D20" s="363">
        <v>80</v>
      </c>
      <c r="E20" s="363">
        <v>80</v>
      </c>
      <c r="F20" s="221"/>
    </row>
    <row r="21" spans="2:6" ht="12.75">
      <c r="B21" s="361" t="s">
        <v>9</v>
      </c>
      <c r="C21" s="362">
        <v>75</v>
      </c>
      <c r="D21" s="363">
        <v>80</v>
      </c>
      <c r="E21" s="363">
        <v>60</v>
      </c>
      <c r="F21" s="221"/>
    </row>
    <row r="22" spans="2:6" ht="13.5" thickBot="1">
      <c r="B22" s="364" t="s">
        <v>10</v>
      </c>
      <c r="C22" s="365">
        <v>50</v>
      </c>
      <c r="D22" s="366">
        <v>50</v>
      </c>
      <c r="E22" s="366">
        <v>60</v>
      </c>
      <c r="F22" s="222"/>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sheetProtection sheet="1" objects="1" scenarios="1"/>
  <mergeCells count="9">
    <mergeCell ref="H6:J6"/>
    <mergeCell ref="H2:J2"/>
    <mergeCell ref="H3:J3"/>
    <mergeCell ref="H4:J4"/>
    <mergeCell ref="H5:J5"/>
    <mergeCell ref="B2:E2"/>
    <mergeCell ref="B11:D11"/>
    <mergeCell ref="B12:D12"/>
    <mergeCell ref="C14:F14"/>
  </mergeCells>
  <hyperlinks>
    <hyperlink ref="E15" r:id="rId1" display="LDS Church (Approximated from food calculator program)"/>
    <hyperlink ref="C15" r:id="rId2" display="Making the Best of Basics"/>
  </hyperlinks>
  <printOptions/>
  <pageMargins left="0.3" right="0.41" top="0.64" bottom="0.65" header="0.43" footer="0.45"/>
  <pageSetup blackAndWhite="1" orientation="portrait" scale="80" r:id="rId6"/>
  <headerFooter alignWithMargins="0">
    <oddHeader>&amp;CFood Storage: Family Calculator</oddHeader>
    <oddFooter>&amp;C&amp;D</oddFooter>
  </headerFooter>
  <drawing r:id="rId5"/>
  <legacyDrawing r:id="rId4"/>
</worksheet>
</file>

<file path=xl/worksheets/sheet2.xml><?xml version="1.0" encoding="utf-8"?>
<worksheet xmlns="http://schemas.openxmlformats.org/spreadsheetml/2006/main" xmlns:r="http://schemas.openxmlformats.org/officeDocument/2006/relationships">
  <sheetPr codeName="Sheet3"/>
  <dimension ref="B2:O24"/>
  <sheetViews>
    <sheetView zoomScale="80" zoomScaleNormal="80" workbookViewId="0" topLeftCell="B1">
      <selection activeCell="C3" sqref="C3"/>
    </sheetView>
  </sheetViews>
  <sheetFormatPr defaultColWidth="9.140625" defaultRowHeight="12.75"/>
  <cols>
    <col min="1" max="1" width="2.140625" style="198" customWidth="1"/>
    <col min="2" max="2" width="48.00390625" style="288" customWidth="1"/>
    <col min="3" max="3" width="8.8515625" style="288" bestFit="1" customWidth="1"/>
    <col min="4" max="4" width="9.28125" style="288" customWidth="1"/>
    <col min="5" max="5" width="9.421875" style="288" customWidth="1"/>
    <col min="6" max="6" width="9.57421875" style="288" customWidth="1"/>
    <col min="7" max="7" width="11.140625" style="288" customWidth="1"/>
    <col min="8" max="8" width="8.28125" style="288" customWidth="1"/>
    <col min="9" max="10" width="8.140625" style="288" customWidth="1"/>
    <col min="11" max="11" width="8.57421875" style="288" customWidth="1"/>
    <col min="12" max="12" width="11.57421875" style="288" customWidth="1"/>
    <col min="13" max="13" width="11.140625" style="288" customWidth="1"/>
    <col min="14" max="14" width="11.00390625" style="288" customWidth="1"/>
    <col min="15" max="15" width="10.28125" style="288" bestFit="1" customWidth="1"/>
    <col min="16" max="16384" width="9.140625" style="198" customWidth="1"/>
  </cols>
  <sheetData>
    <row r="1" ht="13.5" thickBot="1"/>
    <row r="2" spans="2:15" ht="19.5" thickBot="1" thickTop="1">
      <c r="B2" s="373" t="s">
        <v>49</v>
      </c>
      <c r="C2" s="374"/>
      <c r="D2" s="374"/>
      <c r="E2" s="374"/>
      <c r="F2" s="374"/>
      <c r="G2" s="374"/>
      <c r="H2" s="374"/>
      <c r="I2" s="374"/>
      <c r="J2" s="374"/>
      <c r="K2" s="374"/>
      <c r="L2" s="374"/>
      <c r="M2" s="374"/>
      <c r="N2" s="374"/>
      <c r="O2" s="375"/>
    </row>
    <row r="3" spans="2:15" ht="24.75" customHeight="1">
      <c r="B3" s="376" t="s">
        <v>257</v>
      </c>
      <c r="C3" s="164">
        <v>1</v>
      </c>
      <c r="D3" s="377" t="s">
        <v>279</v>
      </c>
      <c r="E3" s="377" t="s">
        <v>15</v>
      </c>
      <c r="F3" s="378" t="s">
        <v>172</v>
      </c>
      <c r="G3" s="379" t="s">
        <v>189</v>
      </c>
      <c r="H3" s="380" t="s">
        <v>256</v>
      </c>
      <c r="I3" s="381" t="s">
        <v>261</v>
      </c>
      <c r="J3" s="382" t="s">
        <v>262</v>
      </c>
      <c r="K3" s="383" t="s">
        <v>263</v>
      </c>
      <c r="L3" s="384" t="s">
        <v>210</v>
      </c>
      <c r="M3" s="385" t="s">
        <v>211</v>
      </c>
      <c r="N3" s="386" t="s">
        <v>212</v>
      </c>
      <c r="O3" s="387" t="s">
        <v>281</v>
      </c>
    </row>
    <row r="4" spans="2:15" ht="56.25" customHeight="1" thickBot="1">
      <c r="B4" s="388" t="s">
        <v>13</v>
      </c>
      <c r="C4" s="389" t="s">
        <v>278</v>
      </c>
      <c r="D4" s="390"/>
      <c r="E4" s="391"/>
      <c r="F4" s="392"/>
      <c r="G4" s="390"/>
      <c r="H4" s="393"/>
      <c r="I4" s="394"/>
      <c r="J4" s="395"/>
      <c r="K4" s="393"/>
      <c r="L4" s="396"/>
      <c r="M4" s="397"/>
      <c r="N4" s="398"/>
      <c r="O4" s="399"/>
    </row>
    <row r="5" spans="2:15" ht="15" customHeight="1">
      <c r="B5" s="400" t="s">
        <v>174</v>
      </c>
      <c r="C5" s="165">
        <f aca="true" t="shared" si="0" ref="C5:C12">IF($C$3=1,D17,IF($C$3=2,E17,IF($C$3=3,F17,IF($C$3=4,G17,"Enter 1-4"))))</f>
        <v>14</v>
      </c>
      <c r="D5" s="401">
        <f>'Goals, Inventory, Budget'!E12</f>
        <v>16</v>
      </c>
      <c r="E5" s="402" t="str">
        <f>'Goals, Inventory, Budget'!F12</f>
        <v>gallons</v>
      </c>
      <c r="F5" s="403">
        <f>'Goals, Inventory, Budget'!G12</f>
        <v>16</v>
      </c>
      <c r="G5" s="404">
        <f>'Goals, Inventory, Budget'!H12</f>
        <v>0</v>
      </c>
      <c r="H5" s="405">
        <f>G5*2/F5</f>
        <v>0</v>
      </c>
      <c r="I5" s="406">
        <f>'Goals, Inventory, Budget'!G12-'Goals, Inventory, Budget'!H12</f>
        <v>16</v>
      </c>
      <c r="J5" s="407" t="s">
        <v>213</v>
      </c>
      <c r="K5" s="408"/>
      <c r="L5" s="409">
        <f>'Goals, Inventory, Budget'!AG19</f>
        <v>0</v>
      </c>
      <c r="M5" s="407" t="s">
        <v>213</v>
      </c>
      <c r="N5" s="410"/>
      <c r="O5" s="411"/>
    </row>
    <row r="6" spans="2:15" ht="15" customHeight="1">
      <c r="B6" s="412" t="s">
        <v>149</v>
      </c>
      <c r="C6" s="166">
        <f t="shared" si="0"/>
        <v>625</v>
      </c>
      <c r="D6" s="413">
        <f>'Goals, Inventory, Budget'!E65</f>
        <v>462</v>
      </c>
      <c r="E6" s="130" t="str">
        <f>'Goals, Inventory, Budget'!F65</f>
        <v>lbs</v>
      </c>
      <c r="F6" s="414">
        <f>'Goals, Inventory, Budget'!G65</f>
        <v>462</v>
      </c>
      <c r="G6" s="415">
        <f>'Goals, Inventory, Budget'!H65</f>
        <v>0</v>
      </c>
      <c r="H6" s="416">
        <f aca="true" t="shared" si="1" ref="H6:H12">G6*12/F6</f>
        <v>0</v>
      </c>
      <c r="I6" s="417">
        <f>'Goals, Inventory, Budget'!I65</f>
        <v>462</v>
      </c>
      <c r="J6" s="19">
        <f>'Goals, Inventory, Budget'!J65</f>
        <v>231</v>
      </c>
      <c r="K6" s="20">
        <f>'Goals, Inventory, Budget'!K65</f>
        <v>115.5</v>
      </c>
      <c r="L6" s="418">
        <f>'Goals, Inventory, Budget'!AG65</f>
        <v>80.15</v>
      </c>
      <c r="M6" s="146">
        <f>'Goals, Inventory, Budget'!AH65</f>
        <v>40.075</v>
      </c>
      <c r="N6" s="419">
        <f>'Goals, Inventory, Budget'!AI65</f>
        <v>20.0375</v>
      </c>
      <c r="O6" s="420">
        <f>'Goals, Inventory, Budget'!AJ65</f>
        <v>6.679166666666667</v>
      </c>
    </row>
    <row r="7" spans="2:15" ht="15" customHeight="1">
      <c r="B7" s="412" t="s">
        <v>150</v>
      </c>
      <c r="C7" s="166">
        <f t="shared" si="0"/>
        <v>85</v>
      </c>
      <c r="D7" s="413">
        <f>'Goals, Inventory, Budget'!E87</f>
        <v>6</v>
      </c>
      <c r="E7" s="130" t="str">
        <f>'Goals, Inventory, Budget'!F87</f>
        <v>lbs</v>
      </c>
      <c r="F7" s="414">
        <f>'Goals, Inventory, Budget'!G87</f>
        <v>6</v>
      </c>
      <c r="G7" s="415">
        <f>'Goals, Inventory, Budget'!H87</f>
        <v>0</v>
      </c>
      <c r="H7" s="416">
        <f t="shared" si="1"/>
        <v>0</v>
      </c>
      <c r="I7" s="417">
        <f>'Goals, Inventory, Budget'!I87</f>
        <v>6</v>
      </c>
      <c r="J7" s="19">
        <f>'Goals, Inventory, Budget'!J87</f>
        <v>3</v>
      </c>
      <c r="K7" s="20">
        <f>'Goals, Inventory, Budget'!K87</f>
        <v>1.5</v>
      </c>
      <c r="L7" s="418">
        <f>'Goals, Inventory, Budget'!AG87</f>
        <v>0</v>
      </c>
      <c r="M7" s="146">
        <f>'Goals, Inventory, Budget'!AH87</f>
        <v>0</v>
      </c>
      <c r="N7" s="419">
        <f>'Goals, Inventory, Budget'!AI87</f>
        <v>0</v>
      </c>
      <c r="O7" s="420">
        <f>'Goals, Inventory, Budget'!AJ87</f>
        <v>0</v>
      </c>
    </row>
    <row r="8" spans="2:15" ht="15" customHeight="1">
      <c r="B8" s="412" t="s">
        <v>51</v>
      </c>
      <c r="C8" s="166">
        <f t="shared" si="0"/>
        <v>200</v>
      </c>
      <c r="D8" s="421">
        <f>'Goals, Inventory, Budget'!E116</f>
        <v>164.125</v>
      </c>
      <c r="E8" s="130" t="str">
        <f>'Goals, Inventory, Budget'!F116</f>
        <v>lbs</v>
      </c>
      <c r="F8" s="414">
        <f>'Goals, Inventory, Budget'!G116</f>
        <v>164.125</v>
      </c>
      <c r="G8" s="415">
        <f>'Goals, Inventory, Budget'!H116</f>
        <v>0</v>
      </c>
      <c r="H8" s="416">
        <f t="shared" si="1"/>
        <v>0</v>
      </c>
      <c r="I8" s="417">
        <f>'Goals, Inventory, Budget'!I116</f>
        <v>164.125</v>
      </c>
      <c r="J8" s="19">
        <f>'Goals, Inventory, Budget'!J116</f>
        <v>82.0625</v>
      </c>
      <c r="K8" s="20">
        <f>'Goals, Inventory, Budget'!K116</f>
        <v>41.03125</v>
      </c>
      <c r="L8" s="418">
        <f>'Goals, Inventory, Budget'!AG116</f>
        <v>129</v>
      </c>
      <c r="M8" s="146">
        <f>'Goals, Inventory, Budget'!AH116</f>
        <v>64.5</v>
      </c>
      <c r="N8" s="419">
        <f>'Goals, Inventory, Budget'!AI116</f>
        <v>32.25</v>
      </c>
      <c r="O8" s="420">
        <f>'Goals, Inventory, Budget'!AJ116</f>
        <v>10.75</v>
      </c>
    </row>
    <row r="9" spans="2:15" ht="15" customHeight="1">
      <c r="B9" s="412" t="s">
        <v>52</v>
      </c>
      <c r="C9" s="166">
        <f t="shared" si="0"/>
        <v>100</v>
      </c>
      <c r="D9" s="421">
        <f>'Goals, Inventory, Budget'!E141</f>
        <v>75</v>
      </c>
      <c r="E9" s="130" t="str">
        <f>'Goals, Inventory, Budget'!F141</f>
        <v>lbs</v>
      </c>
      <c r="F9" s="414">
        <f>'Goals, Inventory, Budget'!G141</f>
        <v>75</v>
      </c>
      <c r="G9" s="415">
        <f>'Goals, Inventory, Budget'!H141</f>
        <v>0</v>
      </c>
      <c r="H9" s="416">
        <f t="shared" si="1"/>
        <v>0</v>
      </c>
      <c r="I9" s="417">
        <f>'Goals, Inventory, Budget'!I141</f>
        <v>75</v>
      </c>
      <c r="J9" s="19">
        <f>'Goals, Inventory, Budget'!J141</f>
        <v>37.5</v>
      </c>
      <c r="K9" s="20">
        <f>'Goals, Inventory, Budget'!K141</f>
        <v>18.75</v>
      </c>
      <c r="L9" s="418">
        <f>'Goals, Inventory, Budget'!AG141</f>
        <v>3.8</v>
      </c>
      <c r="M9" s="146">
        <f>'Goals, Inventory, Budget'!AH141</f>
        <v>1.9</v>
      </c>
      <c r="N9" s="419">
        <f>'Goals, Inventory, Budget'!AI141</f>
        <v>0.95</v>
      </c>
      <c r="O9" s="420">
        <f>'Goals, Inventory, Budget'!AJ141</f>
        <v>0.31666666666666665</v>
      </c>
    </row>
    <row r="10" spans="2:15" ht="15" customHeight="1">
      <c r="B10" s="412" t="s">
        <v>53</v>
      </c>
      <c r="C10" s="166">
        <f t="shared" si="0"/>
        <v>90</v>
      </c>
      <c r="D10" s="421">
        <f>'Goals, Inventory, Budget'!E163</f>
        <v>90.25</v>
      </c>
      <c r="E10" s="130" t="str">
        <f>'Goals, Inventory, Budget'!F163</f>
        <v>lbs</v>
      </c>
      <c r="F10" s="414">
        <f>'Goals, Inventory, Budget'!G163</f>
        <v>90.25</v>
      </c>
      <c r="G10" s="415">
        <f>'Goals, Inventory, Budget'!H163</f>
        <v>0</v>
      </c>
      <c r="H10" s="416">
        <f t="shared" si="1"/>
        <v>0</v>
      </c>
      <c r="I10" s="417">
        <f>'Goals, Inventory, Budget'!I163</f>
        <v>90.25</v>
      </c>
      <c r="J10" s="19">
        <f>'Goals, Inventory, Budget'!J163</f>
        <v>45.125</v>
      </c>
      <c r="K10" s="20">
        <f>'Goals, Inventory, Budget'!K163</f>
        <v>22.5625</v>
      </c>
      <c r="L10" s="418">
        <f>'Goals, Inventory, Budget'!AG163</f>
        <v>53.75</v>
      </c>
      <c r="M10" s="146">
        <f>'Goals, Inventory, Budget'!AH163</f>
        <v>26.875</v>
      </c>
      <c r="N10" s="419">
        <f>'Goals, Inventory, Budget'!AI163</f>
        <v>13.4375</v>
      </c>
      <c r="O10" s="420">
        <f>'Goals, Inventory, Budget'!AJ163</f>
        <v>4.479166666666667</v>
      </c>
    </row>
    <row r="11" spans="2:15" ht="15" customHeight="1">
      <c r="B11" s="422" t="s">
        <v>54</v>
      </c>
      <c r="C11" s="193">
        <f t="shared" si="0"/>
        <v>10</v>
      </c>
      <c r="D11" s="423">
        <f>'Goals, Inventory, Budget'!E187</f>
        <v>1</v>
      </c>
      <c r="E11" s="424" t="str">
        <f>'Goals, Inventory, Budget'!F187</f>
        <v>lbs</v>
      </c>
      <c r="F11" s="414">
        <f>'Goals, Inventory, Budget'!G187</f>
        <v>1</v>
      </c>
      <c r="G11" s="415">
        <f>'Goals, Inventory, Budget'!H187</f>
        <v>0</v>
      </c>
      <c r="H11" s="416">
        <f t="shared" si="1"/>
        <v>0</v>
      </c>
      <c r="I11" s="417">
        <f>'Goals, Inventory, Budget'!I187</f>
        <v>1</v>
      </c>
      <c r="J11" s="19">
        <f>'Goals, Inventory, Budget'!J187</f>
        <v>0.5</v>
      </c>
      <c r="K11" s="20">
        <f>'Goals, Inventory, Budget'!K187</f>
        <v>0.25</v>
      </c>
      <c r="L11" s="418">
        <f>'Goals, Inventory, Budget'!AG187</f>
        <v>0</v>
      </c>
      <c r="M11" s="146">
        <f>'Goals, Inventory, Budget'!AH187</f>
        <v>0</v>
      </c>
      <c r="N11" s="419">
        <f>'Goals, Inventory, Budget'!AI187</f>
        <v>0</v>
      </c>
      <c r="O11" s="420">
        <f>'Goals, Inventory, Budget'!AJ187</f>
        <v>0</v>
      </c>
    </row>
    <row r="12" spans="2:15" ht="29.25" customHeight="1" thickBot="1">
      <c r="B12" s="425" t="s">
        <v>163</v>
      </c>
      <c r="C12" s="190">
        <f t="shared" si="0"/>
        <v>0</v>
      </c>
      <c r="D12" s="426">
        <f>'Goals, Inventory, Budget'!E212</f>
        <v>2</v>
      </c>
      <c r="E12" s="427" t="str">
        <f>'Goals, Inventory, Budget'!F212</f>
        <v>lbs</v>
      </c>
      <c r="F12" s="428">
        <f>'Goals, Inventory, Budget'!G212</f>
        <v>2</v>
      </c>
      <c r="G12" s="429">
        <f>'Goals, Inventory, Budget'!H212</f>
        <v>0</v>
      </c>
      <c r="H12" s="430">
        <f t="shared" si="1"/>
        <v>0</v>
      </c>
      <c r="I12" s="431">
        <f>'Goals, Inventory, Budget'!I212</f>
        <v>2</v>
      </c>
      <c r="J12" s="432">
        <f>'Goals, Inventory, Budget'!J212</f>
        <v>1</v>
      </c>
      <c r="K12" s="433">
        <f>'Goals, Inventory, Budget'!K212</f>
        <v>0.5</v>
      </c>
      <c r="L12" s="418">
        <f>'Goals, Inventory, Budget'!AG212</f>
        <v>2.72</v>
      </c>
      <c r="M12" s="146">
        <f>'Goals, Inventory, Budget'!AH212</f>
        <v>1.36</v>
      </c>
      <c r="N12" s="419">
        <f>'Goals, Inventory, Budget'!AI212</f>
        <v>0.68</v>
      </c>
      <c r="O12" s="420">
        <f>'Goals, Inventory, Budget'!AJ212</f>
        <v>0.22666666666666668</v>
      </c>
    </row>
    <row r="13" spans="12:15" ht="40.5" customHeight="1" thickBot="1">
      <c r="L13" s="434" t="s">
        <v>210</v>
      </c>
      <c r="M13" s="385" t="s">
        <v>211</v>
      </c>
      <c r="N13" s="386" t="s">
        <v>212</v>
      </c>
      <c r="O13" s="387" t="s">
        <v>281</v>
      </c>
    </row>
    <row r="14" spans="2:15" ht="18.75" customHeight="1" thickBot="1">
      <c r="B14" s="435" t="s">
        <v>173</v>
      </c>
      <c r="C14" s="436"/>
      <c r="D14" s="437">
        <v>1</v>
      </c>
      <c r="E14" s="277">
        <v>2</v>
      </c>
      <c r="F14" s="277">
        <v>3</v>
      </c>
      <c r="G14" s="438">
        <v>4</v>
      </c>
      <c r="H14" s="202"/>
      <c r="L14" s="439"/>
      <c r="M14" s="397"/>
      <c r="N14" s="398"/>
      <c r="O14" s="399"/>
    </row>
    <row r="15" spans="2:15" ht="40.5" customHeight="1" thickBot="1" thickTop="1">
      <c r="B15" s="440"/>
      <c r="C15" s="441"/>
      <c r="D15" s="442" t="s">
        <v>169</v>
      </c>
      <c r="E15" s="443" t="s">
        <v>170</v>
      </c>
      <c r="F15" s="444" t="s">
        <v>171</v>
      </c>
      <c r="G15" s="445" t="s">
        <v>208</v>
      </c>
      <c r="H15" s="446"/>
      <c r="K15" s="447" t="s">
        <v>258</v>
      </c>
      <c r="L15" s="448">
        <f>SUM(L5:L12)</f>
        <v>269.4200000000001</v>
      </c>
      <c r="M15" s="449">
        <f>SUM(M5:M12)</f>
        <v>134.71000000000004</v>
      </c>
      <c r="N15" s="450">
        <f>SUM(N5:N12)</f>
        <v>67.35500000000002</v>
      </c>
      <c r="O15" s="451">
        <f>SUM(O5:O12)</f>
        <v>22.451666666666668</v>
      </c>
    </row>
    <row r="16" spans="2:8" ht="38.25">
      <c r="B16" s="452" t="s">
        <v>13</v>
      </c>
      <c r="C16" s="453" t="s">
        <v>15</v>
      </c>
      <c r="D16" s="454" t="s">
        <v>278</v>
      </c>
      <c r="E16" s="455" t="s">
        <v>278</v>
      </c>
      <c r="F16" s="455" t="s">
        <v>278</v>
      </c>
      <c r="G16" s="455" t="s">
        <v>278</v>
      </c>
      <c r="H16" s="289"/>
    </row>
    <row r="17" spans="2:8" ht="12.75">
      <c r="B17" s="338" t="s">
        <v>50</v>
      </c>
      <c r="C17" s="456" t="s">
        <v>16</v>
      </c>
      <c r="D17" s="362">
        <v>14</v>
      </c>
      <c r="E17" s="11">
        <v>14</v>
      </c>
      <c r="F17" s="39"/>
      <c r="G17" s="32"/>
      <c r="H17" s="289"/>
    </row>
    <row r="18" spans="2:8" ht="12.75">
      <c r="B18" s="338" t="s">
        <v>149</v>
      </c>
      <c r="C18" s="456" t="s">
        <v>23</v>
      </c>
      <c r="D18" s="362">
        <v>625</v>
      </c>
      <c r="E18" s="11">
        <v>400</v>
      </c>
      <c r="F18" s="39"/>
      <c r="G18" s="32"/>
      <c r="H18" s="289"/>
    </row>
    <row r="19" spans="2:8" ht="12.75">
      <c r="B19" s="338" t="s">
        <v>150</v>
      </c>
      <c r="C19" s="456" t="s">
        <v>23</v>
      </c>
      <c r="D19" s="362">
        <v>85</v>
      </c>
      <c r="E19" s="11">
        <v>60</v>
      </c>
      <c r="F19" s="39"/>
      <c r="G19" s="32"/>
      <c r="H19" s="289"/>
    </row>
    <row r="20" spans="2:8" ht="12.75">
      <c r="B20" s="338" t="s">
        <v>51</v>
      </c>
      <c r="C20" s="456" t="s">
        <v>23</v>
      </c>
      <c r="D20" s="362">
        <v>200</v>
      </c>
      <c r="E20" s="11">
        <v>16</v>
      </c>
      <c r="F20" s="39"/>
      <c r="G20" s="32"/>
      <c r="H20" s="289"/>
    </row>
    <row r="21" spans="2:8" ht="12.75">
      <c r="B21" s="338" t="s">
        <v>52</v>
      </c>
      <c r="C21" s="456" t="s">
        <v>23</v>
      </c>
      <c r="D21" s="362">
        <v>100</v>
      </c>
      <c r="E21" s="11">
        <v>60</v>
      </c>
      <c r="F21" s="39"/>
      <c r="G21" s="32"/>
      <c r="H21" s="289"/>
    </row>
    <row r="22" spans="2:8" ht="12.75">
      <c r="B22" s="338" t="s">
        <v>53</v>
      </c>
      <c r="C22" s="456" t="s">
        <v>23</v>
      </c>
      <c r="D22" s="362">
        <v>90</v>
      </c>
      <c r="E22" s="11">
        <v>19</v>
      </c>
      <c r="F22" s="39"/>
      <c r="G22" s="32"/>
      <c r="H22" s="289"/>
    </row>
    <row r="23" spans="2:8" ht="12.75">
      <c r="B23" s="457" t="s">
        <v>54</v>
      </c>
      <c r="C23" s="458" t="s">
        <v>23</v>
      </c>
      <c r="D23" s="459">
        <v>10</v>
      </c>
      <c r="E23" s="22"/>
      <c r="F23" s="194"/>
      <c r="G23" s="195"/>
      <c r="H23" s="289"/>
    </row>
    <row r="24" spans="2:8" ht="26.25" thickBot="1">
      <c r="B24" s="460" t="s">
        <v>163</v>
      </c>
      <c r="C24" s="358" t="s">
        <v>23</v>
      </c>
      <c r="D24" s="365"/>
      <c r="E24" s="461"/>
      <c r="F24" s="191"/>
      <c r="G24" s="192"/>
      <c r="H24" s="289"/>
    </row>
  </sheetData>
  <sheetProtection sheet="1" objects="1" scenarios="1"/>
  <mergeCells count="18">
    <mergeCell ref="M3:M4"/>
    <mergeCell ref="N3:N4"/>
    <mergeCell ref="J3:J4"/>
    <mergeCell ref="K3:K4"/>
    <mergeCell ref="E3:E4"/>
    <mergeCell ref="D3:D4"/>
    <mergeCell ref="H3:H4"/>
    <mergeCell ref="L3:L4"/>
    <mergeCell ref="B2:O2"/>
    <mergeCell ref="O3:O4"/>
    <mergeCell ref="O13:O14"/>
    <mergeCell ref="L13:L14"/>
    <mergeCell ref="M13:M14"/>
    <mergeCell ref="N13:N14"/>
    <mergeCell ref="B14:C15"/>
    <mergeCell ref="F3:F4"/>
    <mergeCell ref="G3:G4"/>
    <mergeCell ref="I3:I4"/>
  </mergeCells>
  <hyperlinks>
    <hyperlink ref="E15" r:id="rId1" display="LDS Church"/>
  </hyperlinks>
  <printOptions/>
  <pageMargins left="0.64" right="0.42" top="1.04" bottom="1" header="0.5" footer="0.5"/>
  <pageSetup blackAndWhite="1" horizontalDpi="600" verticalDpi="600" orientation="landscape" paperSize="9" scale="74" r:id="rId4"/>
  <headerFooter alignWithMargins="0">
    <oddHeader>&amp;CFood Storage Summary</oddHeader>
    <oddFooter>&amp;C&amp;D</oddFooter>
  </headerFooter>
  <legacyDrawing r:id="rId3"/>
</worksheet>
</file>

<file path=xl/worksheets/sheet3.xml><?xml version="1.0" encoding="utf-8"?>
<worksheet xmlns="http://schemas.openxmlformats.org/spreadsheetml/2006/main" xmlns:r="http://schemas.openxmlformats.org/officeDocument/2006/relationships">
  <sheetPr codeName="Sheet1"/>
  <dimension ref="A1:AN212"/>
  <sheetViews>
    <sheetView zoomScale="85" zoomScaleNormal="85" workbookViewId="0" topLeftCell="A1">
      <pane ySplit="4" topLeftCell="BM5" activePane="bottomLeft" state="frozen"/>
      <selection pane="topLeft" activeCell="A1" sqref="A1"/>
      <selection pane="bottomLeft" activeCell="C8" sqref="C8"/>
    </sheetView>
  </sheetViews>
  <sheetFormatPr defaultColWidth="9.140625" defaultRowHeight="12.75"/>
  <cols>
    <col min="1" max="1" width="2.28125" style="198" customWidth="1"/>
    <col min="2" max="2" width="3.28125" style="288" hidden="1" customWidth="1"/>
    <col min="3" max="3" width="31.7109375" style="695" customWidth="1"/>
    <col min="4" max="4" width="9.8515625" style="696" customWidth="1"/>
    <col min="5" max="5" width="8.8515625" style="542" customWidth="1"/>
    <col min="6" max="6" width="7.00390625" style="542" customWidth="1"/>
    <col min="7" max="7" width="7.140625" style="541" customWidth="1"/>
    <col min="8" max="8" width="10.00390625" style="541" customWidth="1"/>
    <col min="9" max="9" width="8.28125" style="697" customWidth="1"/>
    <col min="10" max="10" width="8.140625" style="541" customWidth="1"/>
    <col min="11" max="11" width="8.421875" style="541" customWidth="1"/>
    <col min="12" max="12" width="13.421875" style="197" customWidth="1"/>
    <col min="13" max="13" width="30.8515625" style="695" hidden="1" customWidth="1"/>
    <col min="14" max="14" width="7.421875" style="542" hidden="1" customWidth="1"/>
    <col min="15" max="15" width="6.8515625" style="541" hidden="1" customWidth="1"/>
    <col min="16" max="16" width="10.00390625" style="541" hidden="1" customWidth="1"/>
    <col min="17" max="17" width="8.140625" style="697" hidden="1" customWidth="1"/>
    <col min="18" max="18" width="8.00390625" style="197" hidden="1" customWidth="1"/>
    <col min="19" max="19" width="9.57421875" style="201" hidden="1" customWidth="1"/>
    <col min="20" max="20" width="7.421875" style="204" hidden="1" customWidth="1"/>
    <col min="21" max="21" width="8.00390625" style="541" hidden="1" customWidth="1"/>
    <col min="22" max="22" width="8.140625" style="197" hidden="1" customWidth="1"/>
    <col min="23" max="23" width="10.7109375" style="542" hidden="1" customWidth="1"/>
    <col min="24" max="24" width="10.00390625" style="197" hidden="1" customWidth="1"/>
    <col min="25" max="25" width="11.140625" style="541" hidden="1" customWidth="1"/>
    <col min="26" max="26" width="41.00390625" style="288" hidden="1" customWidth="1"/>
    <col min="27" max="27" width="7.140625" style="288" hidden="1" customWidth="1"/>
    <col min="28" max="28" width="7.421875" style="288" hidden="1" customWidth="1"/>
    <col min="29" max="29" width="7.140625" style="698" hidden="1" customWidth="1"/>
    <col min="30" max="30" width="8.7109375" style="288" hidden="1" customWidth="1"/>
    <col min="31" max="32" width="9.140625" style="288" hidden="1" customWidth="1"/>
    <col min="33" max="33" width="10.00390625" style="698" hidden="1" customWidth="1"/>
    <col min="34" max="34" width="10.421875" style="698" hidden="1" customWidth="1"/>
    <col min="35" max="35" width="10.140625" style="698" hidden="1" customWidth="1"/>
    <col min="36" max="36" width="9.421875" style="698" hidden="1" customWidth="1"/>
    <col min="37" max="37" width="28.00390625" style="288" hidden="1" customWidth="1"/>
    <col min="38" max="38" width="59.57421875" style="288" hidden="1" customWidth="1"/>
    <col min="39" max="39" width="14.140625" style="288" hidden="1" customWidth="1"/>
    <col min="40" max="40" width="9.140625" style="288" customWidth="1"/>
    <col min="41" max="16384" width="9.140625" style="198" customWidth="1"/>
  </cols>
  <sheetData>
    <row r="1" spans="1:39" ht="25.5" customHeight="1" thickTop="1">
      <c r="A1" s="199"/>
      <c r="B1" s="462"/>
      <c r="C1" s="463"/>
      <c r="D1" s="463"/>
      <c r="E1" s="463"/>
      <c r="F1" s="463"/>
      <c r="G1" s="463"/>
      <c r="H1" s="463"/>
      <c r="I1" s="463"/>
      <c r="J1" s="463"/>
      <c r="K1" s="464"/>
      <c r="L1" s="464"/>
      <c r="M1" s="465"/>
      <c r="N1" s="465"/>
      <c r="O1" s="465"/>
      <c r="P1" s="465"/>
      <c r="Q1" s="465"/>
      <c r="R1" s="465"/>
      <c r="S1" s="465"/>
      <c r="T1" s="465"/>
      <c r="U1" s="465"/>
      <c r="V1" s="196"/>
      <c r="W1" s="466"/>
      <c r="X1" s="196"/>
      <c r="Y1" s="467"/>
      <c r="Z1" s="468"/>
      <c r="AA1" s="468"/>
      <c r="AB1" s="468"/>
      <c r="AC1" s="468"/>
      <c r="AD1" s="468"/>
      <c r="AE1" s="468"/>
      <c r="AF1" s="468"/>
      <c r="AG1" s="469"/>
      <c r="AH1" s="469"/>
      <c r="AI1" s="469"/>
      <c r="AJ1" s="469"/>
      <c r="AK1" s="299"/>
      <c r="AL1" s="288" t="s">
        <v>264</v>
      </c>
      <c r="AM1" s="288" t="s">
        <v>265</v>
      </c>
    </row>
    <row r="2" spans="1:39" ht="17.25" customHeight="1">
      <c r="A2" s="199"/>
      <c r="B2" s="289"/>
      <c r="C2" s="463"/>
      <c r="D2" s="463"/>
      <c r="E2" s="463"/>
      <c r="F2" s="463"/>
      <c r="G2" s="463"/>
      <c r="H2" s="463"/>
      <c r="I2" s="463"/>
      <c r="J2" s="463"/>
      <c r="K2" s="464"/>
      <c r="L2" s="464"/>
      <c r="M2" s="465"/>
      <c r="N2" s="465"/>
      <c r="O2" s="465"/>
      <c r="P2" s="465"/>
      <c r="Q2" s="465"/>
      <c r="R2" s="465"/>
      <c r="S2" s="465"/>
      <c r="T2" s="465"/>
      <c r="U2" s="465"/>
      <c r="V2" s="196"/>
      <c r="W2" s="466"/>
      <c r="X2" s="196"/>
      <c r="Y2" s="467"/>
      <c r="Z2" s="468"/>
      <c r="AA2" s="468"/>
      <c r="AB2" s="468"/>
      <c r="AC2" s="468"/>
      <c r="AD2" s="468"/>
      <c r="AE2" s="468"/>
      <c r="AF2" s="468"/>
      <c r="AG2" s="469"/>
      <c r="AH2" s="469"/>
      <c r="AI2" s="469"/>
      <c r="AJ2" s="469"/>
      <c r="AK2" s="299"/>
      <c r="AL2" s="288" t="s">
        <v>81</v>
      </c>
      <c r="AM2" s="288" t="s">
        <v>259</v>
      </c>
    </row>
    <row r="3" spans="1:39" ht="12.75">
      <c r="A3" s="199"/>
      <c r="B3" s="289"/>
      <c r="C3" s="470"/>
      <c r="D3" s="464"/>
      <c r="E3" s="466"/>
      <c r="F3" s="466"/>
      <c r="G3" s="467"/>
      <c r="H3" s="467"/>
      <c r="I3" s="471"/>
      <c r="J3" s="467"/>
      <c r="K3" s="467"/>
      <c r="L3" s="196"/>
      <c r="M3" s="470"/>
      <c r="N3" s="466"/>
      <c r="O3" s="467"/>
      <c r="P3" s="467"/>
      <c r="Q3" s="471"/>
      <c r="R3" s="196"/>
      <c r="S3" s="467"/>
      <c r="T3" s="196"/>
      <c r="U3" s="467"/>
      <c r="V3" s="196"/>
      <c r="W3" s="466"/>
      <c r="X3" s="196"/>
      <c r="Y3" s="467"/>
      <c r="Z3" s="472"/>
      <c r="AA3" s="472"/>
      <c r="AB3" s="472"/>
      <c r="AC3" s="469"/>
      <c r="AD3" s="472"/>
      <c r="AE3" s="472"/>
      <c r="AF3" s="472"/>
      <c r="AG3" s="469"/>
      <c r="AH3" s="469"/>
      <c r="AI3" s="469"/>
      <c r="AJ3" s="469"/>
      <c r="AK3" s="299"/>
      <c r="AL3" s="288" t="s">
        <v>22</v>
      </c>
      <c r="AM3" s="288" t="s">
        <v>260</v>
      </c>
    </row>
    <row r="4" spans="1:38" ht="18.75" thickBot="1">
      <c r="A4" s="199"/>
      <c r="B4" s="473"/>
      <c r="C4" s="474" t="s">
        <v>265</v>
      </c>
      <c r="D4" s="474"/>
      <c r="E4" s="474"/>
      <c r="F4" s="474"/>
      <c r="G4" s="474"/>
      <c r="H4" s="474"/>
      <c r="I4" s="474"/>
      <c r="J4" s="474"/>
      <c r="K4" s="474"/>
      <c r="L4" s="474"/>
      <c r="M4" s="474" t="s">
        <v>259</v>
      </c>
      <c r="N4" s="474"/>
      <c r="O4" s="474"/>
      <c r="P4" s="474"/>
      <c r="Q4" s="474"/>
      <c r="R4" s="474"/>
      <c r="S4" s="474"/>
      <c r="T4" s="474"/>
      <c r="U4" s="474"/>
      <c r="V4" s="474"/>
      <c r="W4" s="474"/>
      <c r="X4" s="474"/>
      <c r="Y4" s="474"/>
      <c r="Z4" s="475" t="s">
        <v>260</v>
      </c>
      <c r="AA4" s="475"/>
      <c r="AB4" s="475"/>
      <c r="AC4" s="475"/>
      <c r="AD4" s="475"/>
      <c r="AE4" s="475"/>
      <c r="AF4" s="475"/>
      <c r="AG4" s="475"/>
      <c r="AH4" s="475"/>
      <c r="AI4" s="475"/>
      <c r="AJ4" s="475"/>
      <c r="AK4" s="475"/>
      <c r="AL4" s="288" t="s">
        <v>151</v>
      </c>
    </row>
    <row r="5" spans="2:38" ht="17.25" thickBot="1" thickTop="1">
      <c r="B5" s="476" t="s">
        <v>81</v>
      </c>
      <c r="C5" s="304" t="s">
        <v>81</v>
      </c>
      <c r="D5" s="477"/>
      <c r="E5" s="477"/>
      <c r="F5" s="477"/>
      <c r="G5" s="477"/>
      <c r="H5" s="477"/>
      <c r="I5" s="477"/>
      <c r="J5" s="477"/>
      <c r="K5" s="477"/>
      <c r="L5" s="478"/>
      <c r="M5" s="310" t="str">
        <f>'Goals, Inventory, Budget'!C5</f>
        <v>Water - Emergency Supplies and Treatments (2 weeks)</v>
      </c>
      <c r="N5" s="311">
        <f>'Goals, Inventory, Budget'!F5</f>
        <v>0</v>
      </c>
      <c r="O5" s="311">
        <f>'Goals, Inventory, Budget'!G5</f>
        <v>0</v>
      </c>
      <c r="P5" s="311">
        <f>'Goals, Inventory, Budget'!H5</f>
        <v>0</v>
      </c>
      <c r="Q5" s="311">
        <f>'Goals, Inventory, Budget'!I5</f>
        <v>0</v>
      </c>
      <c r="R5" s="311">
        <f>'Goals, Inventory, Budget'!J5</f>
        <v>0</v>
      </c>
      <c r="S5" s="311">
        <f>'Goals, Inventory, Budget'!K5</f>
        <v>0</v>
      </c>
      <c r="T5" s="311"/>
      <c r="U5" s="311"/>
      <c r="V5" s="311"/>
      <c r="W5" s="311"/>
      <c r="X5" s="311"/>
      <c r="Y5" s="312"/>
      <c r="Z5" s="479" t="str">
        <f>'Goals, Inventory, Budget'!C5</f>
        <v>Water - Emergency Supplies and Treatments (2 weeks)</v>
      </c>
      <c r="AA5" s="480"/>
      <c r="AB5" s="480"/>
      <c r="AC5" s="480"/>
      <c r="AD5" s="480"/>
      <c r="AE5" s="480"/>
      <c r="AF5" s="480"/>
      <c r="AG5" s="480"/>
      <c r="AH5" s="480"/>
      <c r="AI5" s="480"/>
      <c r="AJ5" s="481"/>
      <c r="AL5" s="288" t="s">
        <v>51</v>
      </c>
    </row>
    <row r="6" spans="2:38" ht="51">
      <c r="B6" s="482"/>
      <c r="C6" s="483" t="s">
        <v>13</v>
      </c>
      <c r="D6" s="484" t="s">
        <v>14</v>
      </c>
      <c r="E6" s="455" t="s">
        <v>276</v>
      </c>
      <c r="F6" s="455" t="s">
        <v>15</v>
      </c>
      <c r="G6" s="485" t="s">
        <v>190</v>
      </c>
      <c r="H6" s="485" t="s">
        <v>189</v>
      </c>
      <c r="I6" s="486"/>
      <c r="J6" s="487"/>
      <c r="K6" s="488"/>
      <c r="L6" s="209"/>
      <c r="M6" s="178" t="str">
        <f>'Goals, Inventory, Budget'!C6</f>
        <v>Storage Item</v>
      </c>
      <c r="N6" s="179" t="str">
        <f>'Goals, Inventory, Budget'!F6</f>
        <v>Units</v>
      </c>
      <c r="O6" s="180" t="str">
        <f>'Goals, Inventory, Budget'!G6</f>
        <v>Family Total Goal</v>
      </c>
      <c r="P6" s="180" t="str">
        <f>'Goals, Inventory, Budget'!H6</f>
        <v>In Inventory</v>
      </c>
      <c r="Q6" s="33" t="s">
        <v>206</v>
      </c>
      <c r="R6" s="34" t="s">
        <v>248</v>
      </c>
      <c r="S6" s="35" t="s">
        <v>249</v>
      </c>
      <c r="T6" s="35" t="s">
        <v>250</v>
      </c>
      <c r="U6" s="35" t="s">
        <v>251</v>
      </c>
      <c r="V6" s="35" t="s">
        <v>252</v>
      </c>
      <c r="W6" s="35" t="s">
        <v>253</v>
      </c>
      <c r="X6" s="36" t="s">
        <v>254</v>
      </c>
      <c r="Y6" s="36" t="s">
        <v>255</v>
      </c>
      <c r="Z6" s="452" t="str">
        <f>'Goals, Inventory, Budget'!C6</f>
        <v>Storage Item</v>
      </c>
      <c r="AA6" s="489" t="str">
        <f>'Goals, Inventory, Budget'!G6</f>
        <v>Family Total Goal</v>
      </c>
      <c r="AB6" s="490" t="str">
        <f>'Goals, Inventory, Budget'!F6</f>
        <v>Units</v>
      </c>
      <c r="AC6" s="491" t="s">
        <v>209</v>
      </c>
      <c r="AD6" s="492" t="s">
        <v>284</v>
      </c>
      <c r="AE6" s="493"/>
      <c r="AF6" s="493"/>
      <c r="AG6" s="494" t="s">
        <v>269</v>
      </c>
      <c r="AH6" s="495"/>
      <c r="AI6" s="496" t="s">
        <v>285</v>
      </c>
      <c r="AJ6" s="497"/>
      <c r="AL6" s="288" t="s">
        <v>101</v>
      </c>
    </row>
    <row r="7" spans="2:38" ht="43.5" customHeight="1">
      <c r="B7" s="482"/>
      <c r="C7" s="498" t="s">
        <v>166</v>
      </c>
      <c r="D7" s="499"/>
      <c r="E7" s="499"/>
      <c r="F7" s="499"/>
      <c r="G7" s="499"/>
      <c r="H7" s="499"/>
      <c r="I7" s="499"/>
      <c r="J7" s="499"/>
      <c r="K7" s="500"/>
      <c r="L7" s="288"/>
      <c r="M7" s="302" t="str">
        <f>'Goals, Inventory, Budget'!C7</f>
        <v>Water  Basic Sustenance-Level - drinking, some cooking, washing hands &amp; face (14 gal. min. per adult)    Basic Maintenance-Level - drinking, cooking &amp; preparing food, cleaning utensils, washing body (28 gal. min. per adult) </v>
      </c>
      <c r="N7" s="306">
        <f>'Goals, Inventory, Budget'!F7</f>
        <v>0</v>
      </c>
      <c r="O7" s="306">
        <f>'Goals, Inventory, Budget'!G7</f>
        <v>0</v>
      </c>
      <c r="P7" s="306">
        <f>'Goals, Inventory, Budget'!H7</f>
        <v>0</v>
      </c>
      <c r="Q7" s="306">
        <f>'Goals, Inventory, Budget'!I7</f>
        <v>0</v>
      </c>
      <c r="R7" s="306">
        <f>'Goals, Inventory, Budget'!J7</f>
        <v>0</v>
      </c>
      <c r="S7" s="306">
        <f>'Goals, Inventory, Budget'!K7</f>
        <v>0</v>
      </c>
      <c r="T7" s="306"/>
      <c r="U7" s="306"/>
      <c r="V7" s="306"/>
      <c r="W7" s="306"/>
      <c r="X7" s="306"/>
      <c r="Y7" s="232"/>
      <c r="Z7" s="308" t="str">
        <f>'Goals, Inventory, Budget'!C7</f>
        <v>Water  Basic Sustenance-Level - drinking, some cooking, washing hands &amp; face (14 gal. min. per adult)    Basic Maintenance-Level - drinking, cooking &amp; preparing food, cleaning utensils, washing body (28 gal. min. per adult) </v>
      </c>
      <c r="AA7" s="501"/>
      <c r="AB7" s="501"/>
      <c r="AC7" s="501"/>
      <c r="AD7" s="501"/>
      <c r="AE7" s="501"/>
      <c r="AF7" s="501"/>
      <c r="AG7" s="501"/>
      <c r="AH7" s="501"/>
      <c r="AI7" s="502"/>
      <c r="AJ7" s="503"/>
      <c r="AL7" s="288" t="s">
        <v>109</v>
      </c>
    </row>
    <row r="8" spans="2:38" ht="12.75">
      <c r="B8" s="482"/>
      <c r="C8" s="104" t="s">
        <v>221</v>
      </c>
      <c r="D8" s="98" t="s">
        <v>37</v>
      </c>
      <c r="E8" s="8">
        <v>14</v>
      </c>
      <c r="F8" s="504" t="s">
        <v>16</v>
      </c>
      <c r="G8" s="60">
        <f>IF(E8=0,"",SUM('Family Calculator'!$C$4:$C$10)*E8)</f>
        <v>14</v>
      </c>
      <c r="H8" s="38">
        <f>IF(P8=0,"",P8)</f>
      </c>
      <c r="I8" s="260"/>
      <c r="J8" s="13"/>
      <c r="K8" s="257"/>
      <c r="M8" s="132" t="str">
        <f>'Goals, Inventory, Budget'!C8</f>
        <v>Water, potable</v>
      </c>
      <c r="N8" s="26" t="str">
        <f>'Goals, Inventory, Budget'!F8</f>
        <v>gallons</v>
      </c>
      <c r="O8" s="71">
        <f>'Goals, Inventory, Budget'!G8</f>
        <v>14</v>
      </c>
      <c r="P8" s="37">
        <f>Q8/4+R8+5*S8+10*T8+15*U8+25*V8+50*W8+X8*Y8</f>
        <v>0</v>
      </c>
      <c r="Q8" s="29"/>
      <c r="R8" s="10"/>
      <c r="S8" s="29"/>
      <c r="T8" s="29"/>
      <c r="U8" s="1"/>
      <c r="V8" s="29"/>
      <c r="W8" s="10"/>
      <c r="X8" s="274"/>
      <c r="Y8" s="32"/>
      <c r="Z8" s="506" t="str">
        <f>'Goals, Inventory, Budget'!C8</f>
        <v>Water, potable</v>
      </c>
      <c r="AA8" s="60">
        <f>'Goals, Inventory, Budget'!G8</f>
        <v>14</v>
      </c>
      <c r="AB8" s="11" t="str">
        <f>'Goals, Inventory, Budget'!F8</f>
        <v>gallons</v>
      </c>
      <c r="AC8" s="88"/>
      <c r="AD8" s="12"/>
      <c r="AE8" s="13"/>
      <c r="AF8" s="13"/>
      <c r="AG8" s="75"/>
      <c r="AH8" s="77"/>
      <c r="AI8" s="699"/>
      <c r="AJ8" s="700"/>
      <c r="AL8" s="288" t="s">
        <v>144</v>
      </c>
    </row>
    <row r="9" spans="2:38" ht="12.75">
      <c r="B9" s="482"/>
      <c r="C9" s="104" t="s">
        <v>222</v>
      </c>
      <c r="D9" s="98" t="s">
        <v>18</v>
      </c>
      <c r="E9" s="1">
        <v>2</v>
      </c>
      <c r="F9" s="504" t="s">
        <v>16</v>
      </c>
      <c r="G9" s="60">
        <f>IF(E9=0,"",SUM('Family Calculator'!$C$4:$C$10)*E9)</f>
        <v>2</v>
      </c>
      <c r="H9" s="38">
        <f>IF(P9=0,"",P9)</f>
      </c>
      <c r="I9" s="261"/>
      <c r="J9" s="16"/>
      <c r="K9" s="258"/>
      <c r="M9" s="172" t="str">
        <f>'Goals, Inventory, Budget'!C9</f>
        <v>Water, aseptic pkg</v>
      </c>
      <c r="N9" s="11" t="str">
        <f>'Goals, Inventory, Budget'!F9</f>
        <v>gallons</v>
      </c>
      <c r="O9" s="60">
        <f>'Goals, Inventory, Budget'!G9</f>
        <v>2</v>
      </c>
      <c r="P9" s="38">
        <f>Q9/4</f>
        <v>0</v>
      </c>
      <c r="Q9" s="273"/>
      <c r="R9" s="507"/>
      <c r="S9" s="508"/>
      <c r="T9" s="509"/>
      <c r="U9" s="510"/>
      <c r="V9" s="507"/>
      <c r="W9" s="511"/>
      <c r="X9" s="507"/>
      <c r="Y9" s="510"/>
      <c r="Z9" s="506" t="str">
        <f>'Goals, Inventory, Budget'!C9</f>
        <v>Water, aseptic pkg</v>
      </c>
      <c r="AA9" s="60">
        <f>'Goals, Inventory, Budget'!G9</f>
        <v>2</v>
      </c>
      <c r="AB9" s="11" t="str">
        <f>'Goals, Inventory, Budget'!F9</f>
        <v>gallons</v>
      </c>
      <c r="AC9" s="88"/>
      <c r="AD9" s="15"/>
      <c r="AE9" s="16"/>
      <c r="AF9" s="16"/>
      <c r="AG9" s="76"/>
      <c r="AH9" s="78"/>
      <c r="AI9" s="699"/>
      <c r="AJ9" s="700"/>
      <c r="AL9" s="288" t="s">
        <v>163</v>
      </c>
    </row>
    <row r="10" spans="2:36" ht="13.5" thickBot="1">
      <c r="B10" s="482"/>
      <c r="C10" s="104" t="s">
        <v>110</v>
      </c>
      <c r="D10" s="98" t="s">
        <v>37</v>
      </c>
      <c r="E10" s="1"/>
      <c r="F10" s="504" t="s">
        <v>16</v>
      </c>
      <c r="G10" s="60">
        <f>IF(E10=0,"",SUM('Family Calculator'!$C$4:$C$10)*E10)</f>
      </c>
      <c r="H10" s="38">
        <f>IF(P10=0,"",P10)</f>
      </c>
      <c r="I10" s="261"/>
      <c r="J10" s="16"/>
      <c r="K10" s="258"/>
      <c r="M10" s="176" t="str">
        <f>'Goals, Inventory, Budget'!C10</f>
        <v>Commercial bottled water</v>
      </c>
      <c r="N10" s="22" t="str">
        <f>'Goals, Inventory, Budget'!F10</f>
        <v>gallons</v>
      </c>
      <c r="O10" s="275">
        <f>'Goals, Inventory, Budget'!G10</f>
      </c>
      <c r="P10" s="265">
        <f>Q10/4</f>
        <v>0</v>
      </c>
      <c r="Q10" s="228"/>
      <c r="R10" s="507"/>
      <c r="S10" s="508"/>
      <c r="T10" s="509"/>
      <c r="U10" s="510"/>
      <c r="V10" s="507"/>
      <c r="W10" s="511"/>
      <c r="X10" s="507"/>
      <c r="Y10" s="510"/>
      <c r="Z10" s="506" t="str">
        <f>'Goals, Inventory, Budget'!C10</f>
        <v>Commercial bottled water</v>
      </c>
      <c r="AA10" s="58">
        <f>'Goals, Inventory, Budget'!G10</f>
      </c>
      <c r="AB10" s="11" t="str">
        <f>'Goals, Inventory, Budget'!F10</f>
        <v>gallons</v>
      </c>
      <c r="AC10" s="92"/>
      <c r="AD10" s="15"/>
      <c r="AE10" s="16"/>
      <c r="AF10" s="16"/>
      <c r="AG10" s="76"/>
      <c r="AH10" s="78"/>
      <c r="AI10" s="699"/>
      <c r="AJ10" s="700"/>
    </row>
    <row r="11" spans="2:36" ht="26.25" thickBot="1">
      <c r="B11" s="482"/>
      <c r="C11" s="218" t="s">
        <v>266</v>
      </c>
      <c r="D11" s="101"/>
      <c r="E11" s="6"/>
      <c r="F11" s="513" t="s">
        <v>267</v>
      </c>
      <c r="G11" s="219"/>
      <c r="H11" s="38">
        <f>IF(P11=0,"",P11)</f>
      </c>
      <c r="I11" s="261"/>
      <c r="J11" s="16"/>
      <c r="K11" s="258"/>
      <c r="M11" s="276" t="s">
        <v>277</v>
      </c>
      <c r="N11" s="277" t="s">
        <v>16</v>
      </c>
      <c r="O11" s="278">
        <f>Q11/4+R11+5*S11+10*T11+15*U11+25*V11+50*W11+X11*Y11</f>
        <v>0</v>
      </c>
      <c r="P11" s="279"/>
      <c r="Q11" s="231"/>
      <c r="R11" s="280"/>
      <c r="S11" s="281"/>
      <c r="T11" s="281"/>
      <c r="U11" s="282"/>
      <c r="V11" s="281"/>
      <c r="W11" s="280"/>
      <c r="X11" s="280"/>
      <c r="Y11" s="283"/>
      <c r="Z11" s="217" t="s">
        <v>275</v>
      </c>
      <c r="AA11" s="219"/>
      <c r="AB11" s="26" t="s">
        <v>268</v>
      </c>
      <c r="AC11" s="514"/>
      <c r="AD11" s="323">
        <f>$O$12</f>
        <v>0</v>
      </c>
      <c r="AE11" s="515"/>
      <c r="AF11" s="516"/>
      <c r="AG11" s="76"/>
      <c r="AH11" s="78"/>
      <c r="AI11" s="699"/>
      <c r="AJ11" s="700"/>
    </row>
    <row r="12" spans="2:36" ht="14.25" thickBot="1" thickTop="1">
      <c r="B12" s="482"/>
      <c r="C12" s="517" t="s">
        <v>128</v>
      </c>
      <c r="D12" s="518"/>
      <c r="E12" s="122">
        <f>SUM(E8:E10)</f>
        <v>16</v>
      </c>
      <c r="F12" s="122" t="s">
        <v>16</v>
      </c>
      <c r="G12" s="59">
        <f>SUM(G8:G10)</f>
        <v>16</v>
      </c>
      <c r="H12" s="224">
        <f>P13</f>
        <v>0</v>
      </c>
      <c r="I12" s="262"/>
      <c r="J12" s="70"/>
      <c r="K12" s="259"/>
      <c r="M12" s="230" t="s">
        <v>282</v>
      </c>
      <c r="N12" s="11" t="s">
        <v>283</v>
      </c>
      <c r="O12" s="263">
        <f>SUM(Q13:Y13)</f>
        <v>0</v>
      </c>
      <c r="P12" s="219"/>
      <c r="Q12" s="284"/>
      <c r="R12" s="285"/>
      <c r="S12" s="285"/>
      <c r="T12" s="285"/>
      <c r="U12" s="285"/>
      <c r="V12" s="285"/>
      <c r="W12" s="285"/>
      <c r="X12" s="285"/>
      <c r="Y12" s="286"/>
      <c r="Z12" s="519" t="str">
        <f>'Goals, Inventory, Budget'!C12</f>
        <v>Total Water</v>
      </c>
      <c r="AA12" s="59">
        <f>'Goals, Inventory, Budget'!G12</f>
        <v>16</v>
      </c>
      <c r="AB12" s="126" t="str">
        <f>'Goals, Inventory, Budget'!F12</f>
        <v>gallons</v>
      </c>
      <c r="AC12" s="223"/>
      <c r="AD12" s="28"/>
      <c r="AE12" s="16"/>
      <c r="AF12" s="16"/>
      <c r="AG12" s="76"/>
      <c r="AH12" s="78"/>
      <c r="AI12" s="520"/>
      <c r="AJ12" s="521"/>
    </row>
    <row r="13" spans="2:39" ht="13.5" thickTop="1">
      <c r="B13" s="482"/>
      <c r="C13" s="498" t="s">
        <v>58</v>
      </c>
      <c r="D13" s="499"/>
      <c r="E13" s="499"/>
      <c r="F13" s="499"/>
      <c r="G13" s="499"/>
      <c r="H13" s="499"/>
      <c r="I13" s="499"/>
      <c r="J13" s="499"/>
      <c r="K13" s="500"/>
      <c r="M13" s="173" t="str">
        <f>'Goals, Inventory, Budget'!C12</f>
        <v>Total Water</v>
      </c>
      <c r="N13" s="126" t="str">
        <f>'Goals, Inventory, Budget'!F12</f>
        <v>gallons</v>
      </c>
      <c r="O13" s="59">
        <f>'Goals, Inventory, Budget'!G12</f>
        <v>16</v>
      </c>
      <c r="P13" s="224">
        <f>SUM(P8:P10)</f>
        <v>0</v>
      </c>
      <c r="Q13" s="522">
        <f>Q11*Q12</f>
        <v>0</v>
      </c>
      <c r="R13" s="523">
        <f aca="true" t="shared" si="0" ref="R13:Y13">R11*R12</f>
        <v>0</v>
      </c>
      <c r="S13" s="523">
        <f t="shared" si="0"/>
        <v>0</v>
      </c>
      <c r="T13" s="523">
        <f t="shared" si="0"/>
        <v>0</v>
      </c>
      <c r="U13" s="523">
        <f t="shared" si="0"/>
        <v>0</v>
      </c>
      <c r="V13" s="523">
        <f t="shared" si="0"/>
        <v>0</v>
      </c>
      <c r="W13" s="523">
        <f t="shared" si="0"/>
        <v>0</v>
      </c>
      <c r="X13" s="523">
        <f t="shared" si="0"/>
        <v>0</v>
      </c>
      <c r="Y13" s="524">
        <f t="shared" si="0"/>
        <v>0</v>
      </c>
      <c r="Z13" s="308" t="str">
        <f>'Goals, Inventory, Budget'!C13</f>
        <v>Water Treatment Equipment</v>
      </c>
      <c r="AA13" s="309"/>
      <c r="AB13" s="309"/>
      <c r="AC13" s="309"/>
      <c r="AD13" s="119"/>
      <c r="AE13" s="119"/>
      <c r="AF13" s="119"/>
      <c r="AG13" s="525"/>
      <c r="AH13" s="525"/>
      <c r="AI13" s="526"/>
      <c r="AJ13" s="527"/>
      <c r="AL13" s="200" t="s">
        <v>264</v>
      </c>
      <c r="AM13" s="200" t="s">
        <v>265</v>
      </c>
    </row>
    <row r="14" spans="2:36" ht="13.5" thickBot="1">
      <c r="B14" s="482"/>
      <c r="C14" s="104" t="s">
        <v>111</v>
      </c>
      <c r="D14" s="98" t="s">
        <v>18</v>
      </c>
      <c r="E14" s="1">
        <v>1</v>
      </c>
      <c r="F14" s="504" t="s">
        <v>77</v>
      </c>
      <c r="G14" s="61">
        <f>E14</f>
        <v>1</v>
      </c>
      <c r="H14" s="38">
        <f>IF(P15=0,"",P15)</f>
      </c>
      <c r="I14" s="313"/>
      <c r="J14" s="314"/>
      <c r="K14" s="315"/>
      <c r="M14" s="302" t="str">
        <f>'Goals, Inventory, Budget'!C13</f>
        <v>Water Treatment Equipment</v>
      </c>
      <c r="N14" s="303">
        <f>'Goals, Inventory, Budget'!F13</f>
        <v>0</v>
      </c>
      <c r="O14" s="303">
        <f>'Goals, Inventory, Budget'!G13</f>
        <v>0</v>
      </c>
      <c r="P14" s="303">
        <f>'Goals, Inventory, Budget'!H13</f>
        <v>0</v>
      </c>
      <c r="Q14" s="528">
        <f>'Goals, Inventory, Budget'!I13</f>
        <v>0</v>
      </c>
      <c r="R14" s="528">
        <f>'Goals, Inventory, Budget'!J13</f>
        <v>0</v>
      </c>
      <c r="S14" s="528">
        <f>'Goals, Inventory, Budget'!K13</f>
        <v>0</v>
      </c>
      <c r="T14" s="529"/>
      <c r="U14" s="530"/>
      <c r="V14" s="529"/>
      <c r="W14" s="531"/>
      <c r="X14" s="531"/>
      <c r="Y14" s="532"/>
      <c r="Z14" s="506" t="str">
        <f>'Goals, Inventory, Budget'!C14</f>
        <v>testing kit, water quality</v>
      </c>
      <c r="AA14" s="61">
        <f>'Goals, Inventory, Budget'!G14</f>
        <v>1</v>
      </c>
      <c r="AB14" s="11" t="str">
        <f>'Goals, Inventory, Budget'!F14</f>
        <v>1/family</v>
      </c>
      <c r="AC14" s="74"/>
      <c r="AD14" s="15"/>
      <c r="AE14" s="16"/>
      <c r="AF14" s="16"/>
      <c r="AG14" s="324">
        <f>AC14*AA14</f>
        <v>0</v>
      </c>
      <c r="AH14" s="534"/>
      <c r="AI14" s="699"/>
      <c r="AJ14" s="700"/>
    </row>
    <row r="15" spans="2:36" ht="13.5" thickTop="1">
      <c r="B15" s="482"/>
      <c r="C15" s="104" t="s">
        <v>17</v>
      </c>
      <c r="D15" s="98" t="s">
        <v>18</v>
      </c>
      <c r="E15" s="8">
        <v>1</v>
      </c>
      <c r="F15" s="504" t="s">
        <v>77</v>
      </c>
      <c r="G15" s="61">
        <f>E15</f>
        <v>1</v>
      </c>
      <c r="H15" s="38">
        <f>IF(P16=0,"",P16)</f>
      </c>
      <c r="I15" s="316"/>
      <c r="J15" s="317"/>
      <c r="K15" s="318"/>
      <c r="M15" s="172" t="str">
        <f>'Goals, Inventory, Budget'!C14</f>
        <v>testing kit, water quality</v>
      </c>
      <c r="N15" s="11" t="str">
        <f>'Goals, Inventory, Budget'!F14</f>
        <v>1/family</v>
      </c>
      <c r="O15" s="61">
        <f>'Goals, Inventory, Budget'!G14</f>
        <v>1</v>
      </c>
      <c r="P15" s="10"/>
      <c r="Q15" s="535"/>
      <c r="R15" s="536"/>
      <c r="S15" s="536"/>
      <c r="T15" s="537"/>
      <c r="U15" s="538"/>
      <c r="V15" s="538"/>
      <c r="W15" s="538"/>
      <c r="X15" s="538"/>
      <c r="Y15" s="538"/>
      <c r="Z15" s="506" t="str">
        <f>'Goals, Inventory, Budget'!C15</f>
        <v>Portable treatment unit</v>
      </c>
      <c r="AA15" s="61">
        <f>'Goals, Inventory, Budget'!G15</f>
        <v>1</v>
      </c>
      <c r="AB15" s="11" t="str">
        <f>'Goals, Inventory, Budget'!F15</f>
        <v>1/family</v>
      </c>
      <c r="AC15" s="74"/>
      <c r="AD15" s="15"/>
      <c r="AE15" s="16"/>
      <c r="AF15" s="16"/>
      <c r="AG15" s="322">
        <f>AC15*AA15</f>
        <v>0</v>
      </c>
      <c r="AH15" s="539"/>
      <c r="AI15" s="699"/>
      <c r="AJ15" s="700"/>
    </row>
    <row r="16" spans="2:36" ht="25.5">
      <c r="B16" s="482"/>
      <c r="C16" s="104" t="s">
        <v>112</v>
      </c>
      <c r="D16" s="98" t="s">
        <v>19</v>
      </c>
      <c r="E16" s="8">
        <v>1</v>
      </c>
      <c r="F16" s="504" t="s">
        <v>16</v>
      </c>
      <c r="G16" s="61">
        <f>SUM('Family Calculator'!$C$4:$C$10)*E16</f>
        <v>1</v>
      </c>
      <c r="H16" s="38">
        <f>IF(P17=0,"",P17)</f>
      </c>
      <c r="I16" s="316"/>
      <c r="J16" s="317"/>
      <c r="K16" s="318"/>
      <c r="M16" s="172" t="str">
        <f>'Goals, Inventory, Budget'!C15</f>
        <v>Portable treatment unit</v>
      </c>
      <c r="N16" s="11" t="str">
        <f>'Goals, Inventory, Budget'!F15</f>
        <v>1/family</v>
      </c>
      <c r="O16" s="61">
        <f>'Goals, Inventory, Budget'!G15</f>
        <v>1</v>
      </c>
      <c r="P16" s="10"/>
      <c r="Q16" s="15"/>
      <c r="R16" s="540"/>
      <c r="S16" s="258"/>
      <c r="Z16" s="506" t="str">
        <f>'Goals, Inventory, Budget'!C16</f>
        <v>Bleach, 5.25% sodium hypochlorite</v>
      </c>
      <c r="AA16" s="61">
        <f>'Goals, Inventory, Budget'!G16</f>
        <v>1</v>
      </c>
      <c r="AB16" s="11" t="str">
        <f>'Goals, Inventory, Budget'!F16</f>
        <v>gallons</v>
      </c>
      <c r="AC16" s="74"/>
      <c r="AD16" s="15"/>
      <c r="AE16" s="16"/>
      <c r="AF16" s="16"/>
      <c r="AG16" s="322">
        <f>AC16*AA16</f>
        <v>0</v>
      </c>
      <c r="AH16" s="539"/>
      <c r="AI16" s="699"/>
      <c r="AJ16" s="700"/>
    </row>
    <row r="17" spans="2:36" ht="25.5">
      <c r="B17" s="482"/>
      <c r="C17" s="104" t="s">
        <v>114</v>
      </c>
      <c r="D17" s="98" t="s">
        <v>177</v>
      </c>
      <c r="E17" s="8">
        <v>1</v>
      </c>
      <c r="F17" s="504" t="s">
        <v>20</v>
      </c>
      <c r="G17" s="61">
        <f>SUM('Family Calculator'!$C$4:$C$10)*E17</f>
        <v>1</v>
      </c>
      <c r="H17" s="38">
        <f>IF(P18=0,"",P18)</f>
      </c>
      <c r="I17" s="316"/>
      <c r="J17" s="317"/>
      <c r="K17" s="318"/>
      <c r="M17" s="172" t="str">
        <f>'Goals, Inventory, Budget'!C16</f>
        <v>Bleach, 5.25% sodium hypochlorite</v>
      </c>
      <c r="N17" s="11" t="str">
        <f>'Goals, Inventory, Budget'!F16</f>
        <v>gallons</v>
      </c>
      <c r="O17" s="61">
        <f>'Goals, Inventory, Budget'!G16</f>
        <v>1</v>
      </c>
      <c r="P17" s="10"/>
      <c r="Q17" s="15"/>
      <c r="R17" s="540"/>
      <c r="S17" s="258"/>
      <c r="T17" s="209"/>
      <c r="Z17" s="506" t="str">
        <f>'Goals, Inventory, Budget'!C17</f>
        <v>water treatment tablets 2 oz pkg.</v>
      </c>
      <c r="AA17" s="61">
        <f>'Goals, Inventory, Budget'!G17</f>
        <v>1</v>
      </c>
      <c r="AB17" s="11" t="str">
        <f>'Goals, Inventory, Budget'!F17</f>
        <v>pkg</v>
      </c>
      <c r="AC17" s="74"/>
      <c r="AD17" s="15"/>
      <c r="AE17" s="16"/>
      <c r="AF17" s="16"/>
      <c r="AG17" s="322">
        <f>AC17*AA17</f>
        <v>0</v>
      </c>
      <c r="AH17" s="539"/>
      <c r="AI17" s="699"/>
      <c r="AJ17" s="700"/>
    </row>
    <row r="18" spans="2:36" ht="26.25" thickBot="1">
      <c r="B18" s="482"/>
      <c r="C18" s="167" t="s">
        <v>113</v>
      </c>
      <c r="D18" s="99" t="s">
        <v>18</v>
      </c>
      <c r="E18" s="45">
        <v>2</v>
      </c>
      <c r="F18" s="543" t="s">
        <v>21</v>
      </c>
      <c r="G18" s="69">
        <f>SUM('Family Calculator'!$C$4:$C$10)*E18</f>
        <v>2</v>
      </c>
      <c r="H18" s="264">
        <f>IF(P19=0,"",P19)</f>
      </c>
      <c r="I18" s="319"/>
      <c r="J18" s="320"/>
      <c r="K18" s="321"/>
      <c r="M18" s="172" t="str">
        <f>'Goals, Inventory, Budget'!C17</f>
        <v>water treatment tablets 2 oz pkg.</v>
      </c>
      <c r="N18" s="11" t="str">
        <f>'Goals, Inventory, Budget'!F17</f>
        <v>pkg</v>
      </c>
      <c r="O18" s="61">
        <f>'Goals, Inventory, Budget'!G17</f>
        <v>1</v>
      </c>
      <c r="P18" s="10"/>
      <c r="Q18" s="15"/>
      <c r="R18" s="540"/>
      <c r="S18" s="258"/>
      <c r="Z18" s="544" t="str">
        <f>'Goals, Inventory, Budget'!C18</f>
        <v>iodine tincture, 2%</v>
      </c>
      <c r="AA18" s="69">
        <f>'Goals, Inventory, Budget'!G18</f>
        <v>2</v>
      </c>
      <c r="AB18" s="18" t="str">
        <f>'Goals, Inventory, Budget'!F18</f>
        <v>oz</v>
      </c>
      <c r="AC18" s="93"/>
      <c r="AD18" s="213"/>
      <c r="AE18" s="214"/>
      <c r="AF18" s="214"/>
      <c r="AG18" s="325">
        <f>AC18*AA18</f>
        <v>0</v>
      </c>
      <c r="AH18" s="545"/>
      <c r="AI18" s="701"/>
      <c r="AJ18" s="702"/>
    </row>
    <row r="19" spans="2:36" ht="14.25" thickBot="1" thickTop="1">
      <c r="B19" s="546"/>
      <c r="C19" s="205"/>
      <c r="D19" s="547"/>
      <c r="E19" s="202"/>
      <c r="F19" s="202"/>
      <c r="G19" s="201"/>
      <c r="H19" s="201"/>
      <c r="I19" s="203"/>
      <c r="J19" s="203"/>
      <c r="K19" s="203"/>
      <c r="M19" s="174" t="str">
        <f>'Goals, Inventory, Budget'!C18</f>
        <v>iodine tincture, 2%</v>
      </c>
      <c r="N19" s="18" t="str">
        <f>'Goals, Inventory, Budget'!F18</f>
        <v>oz</v>
      </c>
      <c r="O19" s="69">
        <f>'Goals, Inventory, Budget'!G18</f>
        <v>2</v>
      </c>
      <c r="P19" s="225"/>
      <c r="Q19" s="300"/>
      <c r="R19" s="548"/>
      <c r="S19" s="549"/>
      <c r="Z19" s="550" t="s">
        <v>280</v>
      </c>
      <c r="AA19" s="211"/>
      <c r="AB19" s="551"/>
      <c r="AC19" s="212"/>
      <c r="AD19" s="215"/>
      <c r="AE19" s="216"/>
      <c r="AF19" s="216"/>
      <c r="AG19" s="326">
        <f>SUM(AG14:AG18)+AD11</f>
        <v>0</v>
      </c>
      <c r="AH19" s="552"/>
      <c r="AI19" s="288"/>
      <c r="AJ19" s="288"/>
    </row>
    <row r="20" spans="2:40" s="199" customFormat="1" ht="14.25" thickBot="1" thickTop="1">
      <c r="B20" s="553"/>
      <c r="C20" s="205"/>
      <c r="D20" s="547"/>
      <c r="E20" s="202"/>
      <c r="F20" s="202"/>
      <c r="G20" s="201"/>
      <c r="H20" s="201"/>
      <c r="I20" s="203"/>
      <c r="J20" s="203"/>
      <c r="K20" s="203"/>
      <c r="L20" s="204"/>
      <c r="M20" s="205"/>
      <c r="N20" s="202"/>
      <c r="O20" s="201"/>
      <c r="P20" s="201"/>
      <c r="Q20" s="203"/>
      <c r="R20" s="204"/>
      <c r="S20" s="201"/>
      <c r="T20" s="204"/>
      <c r="U20" s="201"/>
      <c r="V20" s="204"/>
      <c r="W20" s="202"/>
      <c r="X20" s="204"/>
      <c r="Y20" s="201"/>
      <c r="Z20" s="554"/>
      <c r="AA20" s="201"/>
      <c r="AB20" s="202"/>
      <c r="AC20" s="208"/>
      <c r="AD20" s="203"/>
      <c r="AE20" s="201"/>
      <c r="AF20" s="206"/>
      <c r="AG20" s="207"/>
      <c r="AH20" s="208"/>
      <c r="AI20" s="208"/>
      <c r="AJ20" s="208"/>
      <c r="AK20" s="289"/>
      <c r="AL20" s="289"/>
      <c r="AM20" s="289"/>
      <c r="AN20" s="289"/>
    </row>
    <row r="21" spans="2:37" ht="48.75" thickBot="1" thickTop="1">
      <c r="B21" s="555" t="s">
        <v>22</v>
      </c>
      <c r="C21" s="304" t="s">
        <v>22</v>
      </c>
      <c r="D21" s="556"/>
      <c r="E21" s="556"/>
      <c r="F21" s="556"/>
      <c r="G21" s="556"/>
      <c r="H21" s="556"/>
      <c r="I21" s="557" t="s">
        <v>217</v>
      </c>
      <c r="J21" s="558">
        <f>'Storage Summary'!C6</f>
        <v>625</v>
      </c>
      <c r="K21" s="558" t="str">
        <f>'Storage Summary'!E6</f>
        <v>lbs</v>
      </c>
      <c r="L21" s="96" t="s">
        <v>188</v>
      </c>
      <c r="M21" s="304" t="str">
        <f>'Goals, Inventory, Budget'!C21</f>
        <v>Wheat, Other Whole Grains, Flours and Beans</v>
      </c>
      <c r="N21" s="305">
        <f>'Goals, Inventory, Budget'!F21</f>
        <v>0</v>
      </c>
      <c r="O21" s="305">
        <f>'Goals, Inventory, Budget'!G21</f>
        <v>0</v>
      </c>
      <c r="P21" s="305">
        <f>'Goals, Inventory, Budget'!H21</f>
        <v>0</v>
      </c>
      <c r="Q21" s="305" t="str">
        <f>'Goals, Inventory, Budget'!I21</f>
        <v>(Adult Total:</v>
      </c>
      <c r="R21" s="305">
        <f>'Goals, Inventory, Budget'!J21</f>
        <v>625</v>
      </c>
      <c r="S21" s="305" t="str">
        <f>'Goals, Inventory, Budget'!K21</f>
        <v>lbs</v>
      </c>
      <c r="T21" s="110"/>
      <c r="U21" s="112"/>
      <c r="V21" s="110"/>
      <c r="W21" s="111"/>
      <c r="X21" s="110"/>
      <c r="Y21" s="116"/>
      <c r="Z21" s="559" t="str">
        <f>'Goals, Inventory, Budget'!C21</f>
        <v>Wheat, Other Whole Grains, Flours and Beans</v>
      </c>
      <c r="AA21" s="560"/>
      <c r="AB21" s="560"/>
      <c r="AC21" s="560"/>
      <c r="AD21" s="560"/>
      <c r="AE21" s="561" t="str">
        <f>'Goals, Inventory, Budget'!I21</f>
        <v>(Adult Total:</v>
      </c>
      <c r="AF21" s="562">
        <f>'Goals, Inventory, Budget'!J21</f>
        <v>625</v>
      </c>
      <c r="AG21" s="562" t="str">
        <f>'Goals, Inventory, Budget'!K21</f>
        <v>lbs</v>
      </c>
      <c r="AH21" s="563" t="s">
        <v>188</v>
      </c>
      <c r="AI21" s="564"/>
      <c r="AJ21" s="565"/>
      <c r="AK21" s="566"/>
    </row>
    <row r="22" spans="2:37" ht="63.75">
      <c r="B22" s="555"/>
      <c r="C22" s="483" t="s">
        <v>13</v>
      </c>
      <c r="D22" s="484" t="s">
        <v>14</v>
      </c>
      <c r="E22" s="455" t="s">
        <v>276</v>
      </c>
      <c r="F22" s="455" t="s">
        <v>15</v>
      </c>
      <c r="G22" s="485" t="s">
        <v>190</v>
      </c>
      <c r="H22" s="485" t="s">
        <v>189</v>
      </c>
      <c r="I22" s="485" t="s">
        <v>55</v>
      </c>
      <c r="J22" s="485" t="s">
        <v>56</v>
      </c>
      <c r="K22" s="567" t="s">
        <v>57</v>
      </c>
      <c r="L22" s="46" t="s">
        <v>187</v>
      </c>
      <c r="M22" s="178" t="str">
        <f>'Goals, Inventory, Budget'!C22</f>
        <v>Storage Item</v>
      </c>
      <c r="N22" s="179" t="str">
        <f>'Goals, Inventory, Budget'!F22</f>
        <v>Units</v>
      </c>
      <c r="O22" s="180" t="str">
        <f>'Goals, Inventory, Budget'!G22</f>
        <v>Family Total Goal</v>
      </c>
      <c r="P22" s="180" t="str">
        <f>'Goals, Inventory, Budget'!H22</f>
        <v>In Inventory</v>
      </c>
      <c r="Q22" s="180" t="s">
        <v>191</v>
      </c>
      <c r="R22" s="181" t="s">
        <v>192</v>
      </c>
      <c r="S22" s="180" t="s">
        <v>193</v>
      </c>
      <c r="T22" s="182" t="s">
        <v>194</v>
      </c>
      <c r="U22" s="183" t="s">
        <v>195</v>
      </c>
      <c r="V22" s="182" t="s">
        <v>196</v>
      </c>
      <c r="W22" s="184" t="s">
        <v>197</v>
      </c>
      <c r="X22" s="185" t="s">
        <v>198</v>
      </c>
      <c r="Y22" s="186" t="s">
        <v>199</v>
      </c>
      <c r="Z22" s="452" t="str">
        <f>'Goals, Inventory, Budget'!C22</f>
        <v>Storage Item</v>
      </c>
      <c r="AA22" s="489" t="str">
        <f>'Goals, Inventory, Budget'!G22</f>
        <v>Family Total Goal</v>
      </c>
      <c r="AB22" s="490" t="str">
        <f>'Goals, Inventory, Budget'!F22</f>
        <v>Units</v>
      </c>
      <c r="AC22" s="491" t="s">
        <v>209</v>
      </c>
      <c r="AD22" s="489" t="str">
        <f>'Goals, Inventory, Budget'!I22</f>
        <v>Still Need for 12 months</v>
      </c>
      <c r="AE22" s="489" t="str">
        <f>'Goals, Inventory, Budget'!J22</f>
        <v>Still Need for 6 months</v>
      </c>
      <c r="AF22" s="568" t="str">
        <f>'Goals, Inventory, Budget'!K22</f>
        <v>Still Need for 3 months</v>
      </c>
      <c r="AG22" s="569" t="s">
        <v>210</v>
      </c>
      <c r="AH22" s="569" t="s">
        <v>211</v>
      </c>
      <c r="AI22" s="570" t="s">
        <v>212</v>
      </c>
      <c r="AJ22" s="571" t="s">
        <v>281</v>
      </c>
      <c r="AK22" s="290" t="s">
        <v>285</v>
      </c>
    </row>
    <row r="23" spans="2:37" ht="12.75">
      <c r="B23" s="555"/>
      <c r="C23" s="498" t="s">
        <v>226</v>
      </c>
      <c r="D23" s="572"/>
      <c r="E23" s="572"/>
      <c r="F23" s="572"/>
      <c r="G23" s="572"/>
      <c r="H23" s="573" t="s">
        <v>232</v>
      </c>
      <c r="I23" s="574"/>
      <c r="J23" s="574"/>
      <c r="K23" s="575"/>
      <c r="L23" s="109">
        <f>E24/$J$21</f>
        <v>0.56</v>
      </c>
      <c r="M23" s="308" t="str">
        <f>'Goals, Inventory, Budget'!C23</f>
        <v>Wheat (Recommended: 50% of Major Category minimum)</v>
      </c>
      <c r="N23" s="309">
        <f>'Goals, Inventory, Budget'!F23</f>
        <v>0</v>
      </c>
      <c r="O23" s="309">
        <f>'Goals, Inventory, Budget'!G23</f>
        <v>0</v>
      </c>
      <c r="P23" s="309" t="str">
        <f>'Goals, Inventory, Budget'!H23</f>
        <v>Actual percentage of major category:</v>
      </c>
      <c r="Q23" s="309">
        <f>'Goals, Inventory, Budget'!I23</f>
        <v>0</v>
      </c>
      <c r="R23" s="309">
        <f>'Goals, Inventory, Budget'!J23</f>
        <v>0</v>
      </c>
      <c r="S23" s="309">
        <f>'Goals, Inventory, Budget'!K23</f>
        <v>0</v>
      </c>
      <c r="T23" s="117"/>
      <c r="U23" s="118"/>
      <c r="V23" s="117"/>
      <c r="W23" s="119"/>
      <c r="X23" s="117"/>
      <c r="Y23" s="120"/>
      <c r="Z23" s="308" t="str">
        <f>'Goals, Inventory, Budget'!C23</f>
        <v>Wheat (Recommended: 50% of Major Category minimum)</v>
      </c>
      <c r="AA23" s="309"/>
      <c r="AB23" s="309"/>
      <c r="AC23" s="309"/>
      <c r="AD23" s="119"/>
      <c r="AE23" s="119"/>
      <c r="AF23" s="576"/>
      <c r="AG23" s="525"/>
      <c r="AH23" s="525"/>
      <c r="AI23" s="525"/>
      <c r="AJ23" s="577"/>
      <c r="AK23" s="578"/>
    </row>
    <row r="24" spans="2:37" ht="12.75">
      <c r="B24" s="555"/>
      <c r="C24" s="104" t="s">
        <v>214</v>
      </c>
      <c r="D24" s="98" t="s">
        <v>18</v>
      </c>
      <c r="E24" s="8">
        <v>350</v>
      </c>
      <c r="F24" s="504" t="s">
        <v>23</v>
      </c>
      <c r="G24" s="58">
        <f>FamilyFactor*E24</f>
        <v>350</v>
      </c>
      <c r="H24" s="226">
        <f>P24</f>
        <v>0</v>
      </c>
      <c r="I24" s="42">
        <f>IF(G24="","",IF(H24="",G24-0,IF(G24&lt;H24,0,G24-H24)))</f>
        <v>350</v>
      </c>
      <c r="J24" s="50">
        <f>IF((G24/2-H24)&lt;=0,0,G24/2-H24)</f>
        <v>175</v>
      </c>
      <c r="K24" s="51">
        <f>IF((G24/4-H24)&lt;=0,0,G24/4-H24)</f>
        <v>87.5</v>
      </c>
      <c r="L24" s="21">
        <f>IF(H24="","",IF(D24="indefinite",0,IF(D24="varies","varies",H24/D24)))</f>
        <v>0</v>
      </c>
      <c r="M24" s="175" t="str">
        <f>'Goals, Inventory, Budget'!C24</f>
        <v>Wheat, whole grain - all types</v>
      </c>
      <c r="N24" s="130" t="str">
        <f>'Goals, Inventory, Budget'!F24</f>
        <v>lbs</v>
      </c>
      <c r="O24" s="68">
        <f>'Goals, Inventory, Budget'!G24</f>
        <v>350</v>
      </c>
      <c r="P24" s="226">
        <f>Q24*R24+S24*T24+U24*V24+X24*Y24</f>
        <v>0</v>
      </c>
      <c r="Q24" s="137"/>
      <c r="R24" s="138">
        <v>5.8</v>
      </c>
      <c r="S24" s="30"/>
      <c r="T24" s="31">
        <v>2</v>
      </c>
      <c r="U24" s="139"/>
      <c r="V24" s="140">
        <f>IF(R24=0,0,R24*5/0.75)</f>
        <v>38.666666666666664</v>
      </c>
      <c r="W24" s="1"/>
      <c r="X24" s="136"/>
      <c r="Y24" s="141"/>
      <c r="Z24" s="579" t="str">
        <f>'Goals, Inventory, Budget'!C24</f>
        <v>Wheat, whole grain - all types</v>
      </c>
      <c r="AA24" s="68">
        <f>'Goals, Inventory, Budget'!G24</f>
        <v>350</v>
      </c>
      <c r="AB24" s="130" t="str">
        <f>'Goals, Inventory, Budget'!F24</f>
        <v>lbs</v>
      </c>
      <c r="AC24" s="88">
        <v>0.18</v>
      </c>
      <c r="AD24" s="42">
        <f>'Goals, Inventory, Budget'!I24</f>
        <v>350</v>
      </c>
      <c r="AE24" s="50">
        <f>'Goals, Inventory, Budget'!J24</f>
        <v>175</v>
      </c>
      <c r="AF24" s="51">
        <f>'Goals, Inventory, Budget'!K24</f>
        <v>87.5</v>
      </c>
      <c r="AG24" s="142">
        <f>IF(AA24="","",IF(AC24=0,"price?",AD24*AC24))</f>
        <v>63</v>
      </c>
      <c r="AH24" s="143">
        <f>IF(AA24="","",IF(AC24=0,"price?",AE24*AC24))</f>
        <v>31.5</v>
      </c>
      <c r="AI24" s="143">
        <f>IF(AA24="","",IF(AC24=0,"price?",AF24*AC24))</f>
        <v>15.75</v>
      </c>
      <c r="AJ24" s="235">
        <f>IF(AA24="","",IF(AC24=0,"price?",IF(AD24=0,0,AA24*AC24/12)))</f>
        <v>5.25</v>
      </c>
      <c r="AK24" s="295"/>
    </row>
    <row r="25" spans="2:37" ht="12.75">
      <c r="B25" s="555"/>
      <c r="C25" s="498" t="s">
        <v>229</v>
      </c>
      <c r="D25" s="572"/>
      <c r="E25" s="572"/>
      <c r="F25" s="572"/>
      <c r="G25" s="572"/>
      <c r="H25" s="580" t="s">
        <v>232</v>
      </c>
      <c r="I25" s="301"/>
      <c r="J25" s="301"/>
      <c r="K25" s="581"/>
      <c r="L25" s="109">
        <f>E31/$J$21</f>
        <v>0.0992</v>
      </c>
      <c r="M25" s="308" t="str">
        <f>'Goals, Inventory, Budget'!C25</f>
        <v>Other Whole Grains (Recommended: 16% of Major Category minimum)</v>
      </c>
      <c r="N25" s="309">
        <f>'Goals, Inventory, Budget'!F25</f>
        <v>0</v>
      </c>
      <c r="O25" s="309">
        <f>'Goals, Inventory, Budget'!G25</f>
        <v>0</v>
      </c>
      <c r="P25" s="309" t="str">
        <f>'Goals, Inventory, Budget'!H25</f>
        <v>Actual percentage of major category:</v>
      </c>
      <c r="Q25" s="309">
        <f>'Goals, Inventory, Budget'!I25</f>
        <v>0</v>
      </c>
      <c r="R25" s="309">
        <f>'Goals, Inventory, Budget'!J25</f>
        <v>0</v>
      </c>
      <c r="S25" s="309">
        <f>'Goals, Inventory, Budget'!K25</f>
        <v>0</v>
      </c>
      <c r="T25" s="582"/>
      <c r="U25" s="583"/>
      <c r="V25" s="582"/>
      <c r="W25" s="584"/>
      <c r="X25" s="582"/>
      <c r="Y25" s="585"/>
      <c r="Z25" s="308">
        <v>0.18</v>
      </c>
      <c r="AA25" s="309"/>
      <c r="AB25" s="309"/>
      <c r="AC25" s="309"/>
      <c r="AD25" s="119"/>
      <c r="AE25" s="119"/>
      <c r="AF25" s="576"/>
      <c r="AG25" s="525"/>
      <c r="AH25" s="525"/>
      <c r="AI25" s="525"/>
      <c r="AJ25" s="586"/>
      <c r="AK25" s="587"/>
    </row>
    <row r="26" spans="2:37" ht="12.75">
      <c r="B26" s="555"/>
      <c r="C26" s="104" t="s">
        <v>215</v>
      </c>
      <c r="D26" s="98" t="s">
        <v>24</v>
      </c>
      <c r="E26" s="1">
        <v>42</v>
      </c>
      <c r="F26" s="504" t="s">
        <v>23</v>
      </c>
      <c r="G26" s="61">
        <f>IF(E26=0,"",FamilyFactor*E26)</f>
        <v>42</v>
      </c>
      <c r="H26" s="38">
        <f>IF(P26=0,"",P26)</f>
      </c>
      <c r="I26" s="40">
        <f aca="true" t="shared" si="1" ref="I26:I31">IF(G26="","",IF(H26="",G26-0,IF(G26&lt;H26,0,G26-H26)))</f>
        <v>42</v>
      </c>
      <c r="J26" s="19">
        <f>IF(G26="","",IF(H26="",G26/2-0,IF((G26/2-H26)&lt;=0,0,G26/2-H26)))</f>
        <v>21</v>
      </c>
      <c r="K26" s="20">
        <f>IF(G26="","",IF(H26="",G26/4-0,IF((G26/4-H26)&lt;=0,0,G26/4-H26)))</f>
        <v>10.5</v>
      </c>
      <c r="L26" s="21">
        <f aca="true" t="shared" si="2" ref="L26:L39">IF(H26="","",IF(D26="indefinite",0,IF(D26="varies","varies",H26/D26)))</f>
      </c>
      <c r="M26" s="108" t="str">
        <f>'Goals, Inventory, Budget'!C26</f>
        <v>corn</v>
      </c>
      <c r="N26" s="11" t="str">
        <f>'Goals, Inventory, Budget'!F26</f>
        <v>lbs</v>
      </c>
      <c r="O26" s="60">
        <f>'Goals, Inventory, Budget'!G26</f>
        <v>42</v>
      </c>
      <c r="P26" s="227">
        <f>Q26*R26+S26*T26+U26*V26+X26*Y26</f>
        <v>0</v>
      </c>
      <c r="Q26" s="137"/>
      <c r="R26" s="138">
        <v>5</v>
      </c>
      <c r="S26" s="30"/>
      <c r="T26" s="31"/>
      <c r="U26" s="139"/>
      <c r="V26" s="140">
        <f>IF(R26=0,0,R26*5/0.75)</f>
        <v>33.333333333333336</v>
      </c>
      <c r="W26" s="1"/>
      <c r="X26" s="136"/>
      <c r="Y26" s="141"/>
      <c r="Z26" s="506" t="str">
        <f>'Goals, Inventory, Budget'!C26</f>
        <v>corn</v>
      </c>
      <c r="AA26" s="61">
        <f>'Goals, Inventory, Budget'!G26</f>
        <v>42</v>
      </c>
      <c r="AB26" s="11" t="str">
        <f>'Goals, Inventory, Budget'!F26</f>
        <v>lbs</v>
      </c>
      <c r="AC26" s="74">
        <v>0.25</v>
      </c>
      <c r="AD26" s="40">
        <f>'Goals, Inventory, Budget'!I26</f>
        <v>42</v>
      </c>
      <c r="AE26" s="19">
        <f>'Goals, Inventory, Budget'!J26</f>
        <v>21</v>
      </c>
      <c r="AF26" s="20">
        <f>'Goals, Inventory, Budget'!K26</f>
        <v>10.5</v>
      </c>
      <c r="AG26" s="146">
        <f>IF(AA26="","",IF(AC26=0,"price?",AD26*AC26))</f>
        <v>10.5</v>
      </c>
      <c r="AH26" s="147">
        <f>IF(AA26="","",IF(AC26=0,"price?",AE26*AC26))</f>
        <v>5.25</v>
      </c>
      <c r="AI26" s="147">
        <f>IF(AA26="","",IF(AC26=0,"price?",AF26*AC26))</f>
        <v>2.625</v>
      </c>
      <c r="AJ26" s="236">
        <f>IF(AA26="","",IF(AC26=0,"price?",IF(AD26=0,0,AA26*AC26/12)))</f>
        <v>0.875</v>
      </c>
      <c r="AK26" s="295"/>
    </row>
    <row r="27" spans="2:37" ht="12.75">
      <c r="B27" s="555"/>
      <c r="C27" s="104" t="s">
        <v>186</v>
      </c>
      <c r="D27" s="98" t="s">
        <v>24</v>
      </c>
      <c r="E27" s="1"/>
      <c r="F27" s="504" t="s">
        <v>23</v>
      </c>
      <c r="G27" s="61">
        <f>IF(E27=0,"",FamilyFactor*E27)</f>
      </c>
      <c r="H27" s="38">
        <f>IF(P27=0,"",P27)</f>
      </c>
      <c r="I27" s="40">
        <f t="shared" si="1"/>
      </c>
      <c r="J27" s="19">
        <f>IF(G27="","",IF(H27="",G27/2-0,IF((G27/2-H27)&lt;=0,0,G27/2-H27)))</f>
      </c>
      <c r="K27" s="20">
        <f>IF(G27="","",IF(H27="",G27/4-0,IF((G27/4-H27)&lt;=0,0,G27/4-H27)))</f>
      </c>
      <c r="L27" s="21">
        <f t="shared" si="2"/>
      </c>
      <c r="M27" s="108" t="str">
        <f>'Goals, Inventory, Budget'!C27</f>
        <v>oats - all types</v>
      </c>
      <c r="N27" s="11" t="str">
        <f>'Goals, Inventory, Budget'!F27</f>
        <v>lbs</v>
      </c>
      <c r="O27" s="60">
        <f>'Goals, Inventory, Budget'!G27</f>
      </c>
      <c r="P27" s="227">
        <f>Q27*R27+S27*T27+U27*V27+X27*Y27</f>
        <v>0</v>
      </c>
      <c r="Q27" s="137"/>
      <c r="R27" s="138"/>
      <c r="S27" s="30"/>
      <c r="T27" s="31"/>
      <c r="U27" s="139"/>
      <c r="V27" s="140">
        <f>IF(R27=0,0,R27*5/0.75)</f>
        <v>0</v>
      </c>
      <c r="W27" s="1"/>
      <c r="X27" s="136"/>
      <c r="Y27" s="141"/>
      <c r="Z27" s="506" t="str">
        <f>'Goals, Inventory, Budget'!C27</f>
        <v>oats - all types</v>
      </c>
      <c r="AA27" s="61">
        <f>'Goals, Inventory, Budget'!G27</f>
      </c>
      <c r="AB27" s="11" t="str">
        <f>'Goals, Inventory, Budget'!F27</f>
        <v>lbs</v>
      </c>
      <c r="AC27" s="74">
        <v>0.29</v>
      </c>
      <c r="AD27" s="40">
        <f>'Goals, Inventory, Budget'!I27</f>
      </c>
      <c r="AE27" s="19">
        <f>'Goals, Inventory, Budget'!J27</f>
      </c>
      <c r="AF27" s="20">
        <f>'Goals, Inventory, Budget'!K27</f>
      </c>
      <c r="AG27" s="146">
        <f>IF(AA27="","",IF(AC27=0,"price?",AD27*AC27))</f>
      </c>
      <c r="AH27" s="147">
        <f>IF(AA27="","",IF(AC27=0,"price?",AE27*AC27))</f>
      </c>
      <c r="AI27" s="147">
        <f>IF(AA27="","",IF(AC27=0,"price?",AF27*AC27))</f>
      </c>
      <c r="AJ27" s="236">
        <f>IF(AA27="","",IF(AC27=0,"price?",IF(AD27=0,0,AA27*AC27/12)))</f>
      </c>
      <c r="AK27" s="295"/>
    </row>
    <row r="28" spans="2:37" ht="12.75">
      <c r="B28" s="555"/>
      <c r="C28" s="104" t="s">
        <v>27</v>
      </c>
      <c r="D28" s="98" t="s">
        <v>24</v>
      </c>
      <c r="E28" s="1"/>
      <c r="F28" s="504" t="s">
        <v>23</v>
      </c>
      <c r="G28" s="61">
        <f>IF(E28=0,"",FamilyFactor*E28)</f>
      </c>
      <c r="H28" s="38">
        <f>IF(P28=0,"",P28)</f>
      </c>
      <c r="I28" s="40">
        <f t="shared" si="1"/>
      </c>
      <c r="J28" s="19">
        <f>IF(G28="","",IF(H28="",G28/2-0,IF((G28/2-H28)&lt;=0,0,G28/2-H28)))</f>
      </c>
      <c r="K28" s="20">
        <f>IF(G28="","",IF(H28="",G28/4-0,IF((G28/4-H28)&lt;=0,0,G28/4-H28)))</f>
      </c>
      <c r="L28" s="21">
        <f t="shared" si="2"/>
      </c>
      <c r="M28" s="108" t="str">
        <f>'Goals, Inventory, Budget'!C28</f>
        <v>barley</v>
      </c>
      <c r="N28" s="11" t="str">
        <f>'Goals, Inventory, Budget'!F28</f>
        <v>lbs</v>
      </c>
      <c r="O28" s="60">
        <f>'Goals, Inventory, Budget'!G28</f>
      </c>
      <c r="P28" s="227">
        <f>Q28*R28+S28*T28+U28*V28+X28*Y28</f>
        <v>0</v>
      </c>
      <c r="Q28" s="137"/>
      <c r="R28" s="138"/>
      <c r="S28" s="30"/>
      <c r="T28" s="31"/>
      <c r="U28" s="139"/>
      <c r="V28" s="140">
        <f>IF(R28=0,0,R28*5/0.75)</f>
        <v>0</v>
      </c>
      <c r="W28" s="1"/>
      <c r="X28" s="136"/>
      <c r="Y28" s="141"/>
      <c r="Z28" s="506" t="str">
        <f>'Goals, Inventory, Budget'!C28</f>
        <v>barley</v>
      </c>
      <c r="AA28" s="61">
        <f>'Goals, Inventory, Budget'!G28</f>
      </c>
      <c r="AB28" s="11" t="str">
        <f>'Goals, Inventory, Budget'!F28</f>
        <v>lbs</v>
      </c>
      <c r="AC28" s="74"/>
      <c r="AD28" s="40">
        <f>'Goals, Inventory, Budget'!I28</f>
      </c>
      <c r="AE28" s="19">
        <f>'Goals, Inventory, Budget'!J28</f>
      </c>
      <c r="AF28" s="20">
        <f>'Goals, Inventory, Budget'!K28</f>
      </c>
      <c r="AG28" s="146">
        <f>IF(AA28="","",IF(AC28=0,"price?",AD28*AC28))</f>
      </c>
      <c r="AH28" s="147">
        <f>IF(AA28="","",IF(AC28=0,"price?",AE28*AC28))</f>
      </c>
      <c r="AI28" s="147">
        <f>IF(AA28="","",IF(AC28=0,"price?",AF28*AC28))</f>
      </c>
      <c r="AJ28" s="236">
        <f>IF(AA28="","",IF(AC28=0,"price?",IF(AD28=0,0,AA28*AC28/12)))</f>
      </c>
      <c r="AK28" s="295"/>
    </row>
    <row r="29" spans="2:37" ht="12.75">
      <c r="B29" s="555"/>
      <c r="C29" s="104" t="s">
        <v>26</v>
      </c>
      <c r="D29" s="98" t="s">
        <v>24</v>
      </c>
      <c r="E29" s="1"/>
      <c r="F29" s="504" t="s">
        <v>23</v>
      </c>
      <c r="G29" s="61">
        <f>IF(E29=0,"",FamilyFactor*E29)</f>
      </c>
      <c r="H29" s="38">
        <f>IF(P29=0,"",P29)</f>
      </c>
      <c r="I29" s="40">
        <f t="shared" si="1"/>
      </c>
      <c r="J29" s="19">
        <f>IF(G29="","",IF(H29="",G29/2-0,IF((G29/2-H29)&lt;=0,0,G29/2-H29)))</f>
      </c>
      <c r="K29" s="20">
        <f>IF(G29="","",IF(H29="",G29/4-0,IF((G29/4-H29)&lt;=0,0,G29/4-H29)))</f>
      </c>
      <c r="L29" s="21">
        <f t="shared" si="2"/>
      </c>
      <c r="M29" s="108" t="str">
        <f>'Goals, Inventory, Budget'!C29</f>
        <v>rye</v>
      </c>
      <c r="N29" s="11" t="str">
        <f>'Goals, Inventory, Budget'!F29</f>
        <v>lbs</v>
      </c>
      <c r="O29" s="60">
        <f>'Goals, Inventory, Budget'!G29</f>
      </c>
      <c r="P29" s="227">
        <f>Q29*R29+S29*T29+U29*V29+X29*Y29</f>
        <v>0</v>
      </c>
      <c r="Q29" s="137"/>
      <c r="R29" s="138"/>
      <c r="S29" s="30"/>
      <c r="T29" s="31"/>
      <c r="U29" s="139"/>
      <c r="V29" s="140">
        <f>IF(R29=0,0,R29*5/0.75)</f>
        <v>0</v>
      </c>
      <c r="W29" s="1"/>
      <c r="X29" s="136"/>
      <c r="Y29" s="141"/>
      <c r="Z29" s="506" t="str">
        <f>'Goals, Inventory, Budget'!C29</f>
        <v>rye</v>
      </c>
      <c r="AA29" s="61">
        <f>'Goals, Inventory, Budget'!G29</f>
      </c>
      <c r="AB29" s="11" t="str">
        <f>'Goals, Inventory, Budget'!F29</f>
        <v>lbs</v>
      </c>
      <c r="AC29" s="74"/>
      <c r="AD29" s="40">
        <f>'Goals, Inventory, Budget'!I29</f>
      </c>
      <c r="AE29" s="19">
        <f>'Goals, Inventory, Budget'!J29</f>
      </c>
      <c r="AF29" s="20">
        <f>'Goals, Inventory, Budget'!K29</f>
      </c>
      <c r="AG29" s="146">
        <f>IF(AA29="","",IF(AC29=0,"price?",AD29*AC29))</f>
      </c>
      <c r="AH29" s="147">
        <f>IF(AA29="","",IF(AC29=0,"price?",AE29*AC29))</f>
      </c>
      <c r="AI29" s="147">
        <f>IF(AA29="","",IF(AC29=0,"price?",AF29*AC29))</f>
      </c>
      <c r="AJ29" s="236">
        <f>IF(AA29="","",IF(AC29=0,"price?",IF(AD29=0,0,AA29*AC29/12)))</f>
      </c>
      <c r="AK29" s="295"/>
    </row>
    <row r="30" spans="2:37" ht="13.5" thickBot="1">
      <c r="B30" s="555"/>
      <c r="C30" s="168" t="s">
        <v>216</v>
      </c>
      <c r="D30" s="100" t="s">
        <v>178</v>
      </c>
      <c r="E30" s="2">
        <v>20</v>
      </c>
      <c r="F30" s="588" t="s">
        <v>23</v>
      </c>
      <c r="G30" s="61">
        <f>IF(E30=0,"",FamilyFactor*E30)</f>
        <v>20</v>
      </c>
      <c r="H30" s="265">
        <f>IF(P30=0,"",P30)</f>
      </c>
      <c r="I30" s="73">
        <f t="shared" si="1"/>
        <v>20</v>
      </c>
      <c r="J30" s="56">
        <f>IF(G30="","",IF(H30="",G30/2-0,IF((G30/2-H30)&lt;=0,0,G30/2-H30)))</f>
        <v>10</v>
      </c>
      <c r="K30" s="57">
        <f>IF(G30="","",IF(H30="",G30/4-0,IF((G30/4-H30)&lt;=0,0,G30/4-H30)))</f>
        <v>5</v>
      </c>
      <c r="L30" s="21">
        <f t="shared" si="2"/>
      </c>
      <c r="M30" s="108" t="str">
        <f>'Goals, Inventory, Budget'!C30</f>
        <v>popcorn (whole kernel)</v>
      </c>
      <c r="N30" s="11" t="str">
        <f>'Goals, Inventory, Budget'!F30</f>
        <v>lbs</v>
      </c>
      <c r="O30" s="60">
        <f>'Goals, Inventory, Budget'!G30</f>
        <v>20</v>
      </c>
      <c r="P30" s="227">
        <f>Q30*R30+S30*T30+U30*V30+X30*Y30</f>
        <v>0</v>
      </c>
      <c r="Q30" s="137"/>
      <c r="R30" s="138"/>
      <c r="S30" s="30"/>
      <c r="T30" s="31"/>
      <c r="U30" s="139"/>
      <c r="V30" s="140">
        <f>IF(R30=0,0,R30*5/0.75)</f>
        <v>0</v>
      </c>
      <c r="W30" s="1"/>
      <c r="X30" s="136"/>
      <c r="Y30" s="141"/>
      <c r="Z30" s="589" t="str">
        <f>'Goals, Inventory, Budget'!C30</f>
        <v>popcorn (whole kernel)</v>
      </c>
      <c r="AA30" s="61">
        <f>'Goals, Inventory, Budget'!G30</f>
        <v>20</v>
      </c>
      <c r="AB30" s="22" t="str">
        <f>'Goals, Inventory, Budget'!F30</f>
        <v>lbs</v>
      </c>
      <c r="AC30" s="81"/>
      <c r="AD30" s="73">
        <f>'Goals, Inventory, Budget'!I30</f>
        <v>20</v>
      </c>
      <c r="AE30" s="56">
        <f>'Goals, Inventory, Budget'!J30</f>
        <v>10</v>
      </c>
      <c r="AF30" s="57">
        <f>'Goals, Inventory, Budget'!K30</f>
        <v>5</v>
      </c>
      <c r="AG30" s="148" t="str">
        <f>IF(AA30="","",IF(AC30=0,"price?",AD30*AC30))</f>
        <v>price?</v>
      </c>
      <c r="AH30" s="149" t="str">
        <f>IF(AA30="","",IF(AC30=0,"price?",AE30*AC30))</f>
        <v>price?</v>
      </c>
      <c r="AI30" s="149" t="str">
        <f>IF(AA30="","",IF(AC30=0,"price?",AF30*AC30))</f>
        <v>price?</v>
      </c>
      <c r="AJ30" s="246" t="str">
        <f>IF(AA30="","",IF(AC30=0,"price?",IF(AD30=0,0,AA30*AC30/12)))</f>
        <v>price?</v>
      </c>
      <c r="AK30" s="296"/>
    </row>
    <row r="31" spans="2:37" ht="13.5" thickTop="1">
      <c r="B31" s="555"/>
      <c r="C31" s="517" t="s">
        <v>25</v>
      </c>
      <c r="D31" s="518"/>
      <c r="E31" s="122">
        <f>SUM(E26:E30)</f>
        <v>62</v>
      </c>
      <c r="F31" s="122" t="s">
        <v>23</v>
      </c>
      <c r="G31" s="59">
        <f>FamilyFactor*E31</f>
        <v>62</v>
      </c>
      <c r="H31" s="224">
        <f>P31</f>
        <v>0</v>
      </c>
      <c r="I31" s="41">
        <f t="shared" si="1"/>
        <v>62</v>
      </c>
      <c r="J31" s="52">
        <f>IF((G31/2-H31)&lt;=0,0,G31/2-H31)</f>
        <v>31</v>
      </c>
      <c r="K31" s="53">
        <f>IF((G31/4-H31)&lt;=0,0,G31/4-H31)</f>
        <v>15.5</v>
      </c>
      <c r="L31" s="27"/>
      <c r="M31" s="173" t="str">
        <f>'Goals, Inventory, Budget'!C31</f>
        <v>Total Other Whole Grains</v>
      </c>
      <c r="N31" s="126" t="str">
        <f>'Goals, Inventory, Budget'!F31</f>
        <v>lbs</v>
      </c>
      <c r="O31" s="59">
        <f>'Goals, Inventory, Budget'!G31</f>
        <v>62</v>
      </c>
      <c r="P31" s="224">
        <f>SUM(P26:P30)</f>
        <v>0</v>
      </c>
      <c r="Q31" s="591"/>
      <c r="R31" s="592"/>
      <c r="S31" s="593"/>
      <c r="T31" s="592"/>
      <c r="U31" s="593"/>
      <c r="V31" s="592"/>
      <c r="W31" s="594"/>
      <c r="X31" s="592"/>
      <c r="Y31" s="595"/>
      <c r="Z31" s="519" t="str">
        <f>'Goals, Inventory, Budget'!C31</f>
        <v>Total Other Whole Grains</v>
      </c>
      <c r="AA31" s="59">
        <f>'Goals, Inventory, Budget'!G31</f>
        <v>62</v>
      </c>
      <c r="AB31" s="126" t="str">
        <f>'Goals, Inventory, Budget'!F31</f>
        <v>lbs</v>
      </c>
      <c r="AC31" s="84"/>
      <c r="AD31" s="41">
        <f>'Goals, Inventory, Budget'!I31</f>
        <v>62</v>
      </c>
      <c r="AE31" s="52">
        <f>'Goals, Inventory, Budget'!J31</f>
        <v>31</v>
      </c>
      <c r="AF31" s="53">
        <f>'Goals, Inventory, Budget'!K31</f>
        <v>15.5</v>
      </c>
      <c r="AG31" s="144">
        <f>SUM(AG26:AG30)</f>
        <v>10.5</v>
      </c>
      <c r="AH31" s="145">
        <f>SUM(AH26:AH30)</f>
        <v>5.25</v>
      </c>
      <c r="AI31" s="233">
        <f>SUM(AI26:AI30)</f>
        <v>2.625</v>
      </c>
      <c r="AJ31" s="249">
        <f>SUM(AJ26:AJ30)</f>
        <v>0.875</v>
      </c>
      <c r="AK31" s="291"/>
    </row>
    <row r="32" spans="2:37" ht="27" customHeight="1">
      <c r="B32" s="555"/>
      <c r="C32" s="498" t="s">
        <v>228</v>
      </c>
      <c r="D32" s="596"/>
      <c r="E32" s="596"/>
      <c r="F32" s="596"/>
      <c r="G32" s="596"/>
      <c r="H32" s="573" t="s">
        <v>232</v>
      </c>
      <c r="I32" s="597"/>
      <c r="J32" s="597"/>
      <c r="K32" s="598"/>
      <c r="L32" s="109">
        <f>E40/$J$21</f>
        <v>0.016</v>
      </c>
      <c r="M32" s="308" t="str">
        <f>'Goals, Inventory, Budget'!C32</f>
        <v>Flours, fresh-ground &amp; commercial (Recommended: 6% of Major Category minimum)</v>
      </c>
      <c r="N32" s="309">
        <f>'Goals, Inventory, Budget'!F32</f>
        <v>0</v>
      </c>
      <c r="O32" s="309">
        <f>'Goals, Inventory, Budget'!G32</f>
        <v>0</v>
      </c>
      <c r="P32" s="309" t="str">
        <f>'Goals, Inventory, Budget'!H32</f>
        <v>Actual percentage of major category:</v>
      </c>
      <c r="Q32" s="309">
        <f>'Goals, Inventory, Budget'!I32</f>
        <v>0</v>
      </c>
      <c r="R32" s="309">
        <f>'Goals, Inventory, Budget'!J32</f>
        <v>0</v>
      </c>
      <c r="S32" s="309">
        <f>'Goals, Inventory, Budget'!K32</f>
        <v>0</v>
      </c>
      <c r="T32" s="117"/>
      <c r="U32" s="118"/>
      <c r="V32" s="117"/>
      <c r="W32" s="119"/>
      <c r="X32" s="117"/>
      <c r="Y32" s="120"/>
      <c r="Z32" s="308" t="str">
        <f>'Goals, Inventory, Budget'!C32</f>
        <v>Flours, fresh-ground &amp; commercial (Recommended: 6% of Major Category minimum)</v>
      </c>
      <c r="AA32" s="309"/>
      <c r="AB32" s="309"/>
      <c r="AC32" s="309"/>
      <c r="AD32" s="599"/>
      <c r="AE32" s="599"/>
      <c r="AF32" s="600"/>
      <c r="AG32" s="601"/>
      <c r="AH32" s="601"/>
      <c r="AI32" s="601"/>
      <c r="AJ32" s="602"/>
      <c r="AK32" s="603"/>
    </row>
    <row r="33" spans="2:37" ht="25.5">
      <c r="B33" s="555"/>
      <c r="C33" s="104" t="s">
        <v>155</v>
      </c>
      <c r="D33" s="98" t="s">
        <v>37</v>
      </c>
      <c r="E33" s="1"/>
      <c r="F33" s="504" t="s">
        <v>23</v>
      </c>
      <c r="G33" s="61">
        <f aca="true" t="shared" si="3" ref="G33:G39">IF(E33=0,"",FamilyFactor*E33)</f>
      </c>
      <c r="H33" s="38">
        <f aca="true" t="shared" si="4" ref="H33:H39">IF(P33=0,"",P33)</f>
      </c>
      <c r="I33" s="40">
        <f aca="true" t="shared" si="5" ref="I33:I40">IF(G33="","",IF(H33="",G33-0,IF(G33&lt;H33,0,G33-H33)))</f>
      </c>
      <c r="J33" s="19">
        <f aca="true" t="shared" si="6" ref="J33:J39">IF(G33="","",IF(H33="",G33/2-0,IF((G33/2-H33)&lt;=0,0,G33/2-H33)))</f>
      </c>
      <c r="K33" s="20">
        <f aca="true" t="shared" si="7" ref="K33:K39">IF(G33="","",IF(H33="",G33/4-0,IF((G33/4-H33)&lt;=0,0,G33/4-H33)))</f>
      </c>
      <c r="L33" s="21">
        <f t="shared" si="2"/>
      </c>
      <c r="M33" s="108" t="str">
        <f>'Goals, Inventory, Budget'!C33</f>
        <v>Enriched white flour/ wheat-gluten</v>
      </c>
      <c r="N33" s="11" t="str">
        <f>'Goals, Inventory, Budget'!F33</f>
        <v>lbs</v>
      </c>
      <c r="O33" s="60">
        <f>'Goals, Inventory, Budget'!G33</f>
      </c>
      <c r="P33" s="227">
        <f aca="true" t="shared" si="8" ref="P33:P39">Q33*R33+S33*T33+U33*V33+X33*Y33</f>
        <v>0</v>
      </c>
      <c r="Q33" s="137"/>
      <c r="R33" s="138"/>
      <c r="S33" s="30"/>
      <c r="T33" s="31"/>
      <c r="U33" s="139"/>
      <c r="V33" s="140">
        <f aca="true" t="shared" si="9" ref="V33:V39">IF(R33=0,0,R33*5/0.75)</f>
        <v>0</v>
      </c>
      <c r="W33" s="1"/>
      <c r="X33" s="136"/>
      <c r="Y33" s="141"/>
      <c r="Z33" s="506" t="str">
        <f>'Goals, Inventory, Budget'!C33</f>
        <v>Enriched white flour/ wheat-gluten</v>
      </c>
      <c r="AA33" s="61">
        <f>'Goals, Inventory, Budget'!G33</f>
      </c>
      <c r="AB33" s="11" t="str">
        <f>'Goals, Inventory, Budget'!F33</f>
        <v>lbs</v>
      </c>
      <c r="AC33" s="74">
        <v>0.17</v>
      </c>
      <c r="AD33" s="40">
        <f>'Goals, Inventory, Budget'!I33</f>
      </c>
      <c r="AE33" s="19">
        <f>'Goals, Inventory, Budget'!J33</f>
      </c>
      <c r="AF33" s="20">
        <f>'Goals, Inventory, Budget'!K33</f>
      </c>
      <c r="AG33" s="146">
        <f aca="true" t="shared" si="10" ref="AG33:AG39">IF(AA33="","",IF(AC33=0,"price?",AD33*AC33))</f>
      </c>
      <c r="AH33" s="147">
        <f aca="true" t="shared" si="11" ref="AH33:AH39">IF(AA33="","",IF(AC33=0,"price?",AE33*AC33))</f>
      </c>
      <c r="AI33" s="147">
        <f aca="true" t="shared" si="12" ref="AI33:AI39">IF(AA33="","",IF(AC33=0,"price?",AF33*AC33))</f>
      </c>
      <c r="AJ33" s="236">
        <f aca="true" t="shared" si="13" ref="AJ33:AJ39">IF(AA33="","",IF(AC33=0,"price?",IF(AD33=0,0,AA33*AC33/12)))</f>
      </c>
      <c r="AK33" s="295"/>
    </row>
    <row r="34" spans="2:37" ht="12.75">
      <c r="B34" s="555"/>
      <c r="C34" s="104" t="s">
        <v>223</v>
      </c>
      <c r="D34" s="98" t="s">
        <v>24</v>
      </c>
      <c r="E34" s="1">
        <v>10</v>
      </c>
      <c r="F34" s="504" t="s">
        <v>23</v>
      </c>
      <c r="G34" s="61">
        <f t="shared" si="3"/>
        <v>10</v>
      </c>
      <c r="H34" s="38">
        <f t="shared" si="4"/>
      </c>
      <c r="I34" s="40">
        <f t="shared" si="5"/>
        <v>10</v>
      </c>
      <c r="J34" s="19">
        <f t="shared" si="6"/>
        <v>5</v>
      </c>
      <c r="K34" s="20">
        <f t="shared" si="7"/>
        <v>2.5</v>
      </c>
      <c r="L34" s="21">
        <f t="shared" si="2"/>
      </c>
      <c r="M34" s="108" t="str">
        <f>'Goals, Inventory, Budget'!C34</f>
        <v>cornmeal</v>
      </c>
      <c r="N34" s="11" t="str">
        <f>'Goals, Inventory, Budget'!F34</f>
        <v>lbs</v>
      </c>
      <c r="O34" s="60">
        <f>'Goals, Inventory, Budget'!G34</f>
        <v>10</v>
      </c>
      <c r="P34" s="227">
        <f t="shared" si="8"/>
        <v>0</v>
      </c>
      <c r="Q34" s="137"/>
      <c r="R34" s="138"/>
      <c r="S34" s="30"/>
      <c r="T34" s="31"/>
      <c r="U34" s="139"/>
      <c r="V34" s="140">
        <f t="shared" si="9"/>
        <v>0</v>
      </c>
      <c r="W34" s="1"/>
      <c r="X34" s="136"/>
      <c r="Y34" s="141"/>
      <c r="Z34" s="506" t="str">
        <f>'Goals, Inventory, Budget'!C34</f>
        <v>cornmeal</v>
      </c>
      <c r="AA34" s="61">
        <f>'Goals, Inventory, Budget'!G34</f>
        <v>10</v>
      </c>
      <c r="AB34" s="11" t="str">
        <f>'Goals, Inventory, Budget'!F34</f>
        <v>lbs</v>
      </c>
      <c r="AC34" s="74"/>
      <c r="AD34" s="40">
        <f>'Goals, Inventory, Budget'!I34</f>
        <v>10</v>
      </c>
      <c r="AE34" s="19">
        <f>'Goals, Inventory, Budget'!J34</f>
        <v>5</v>
      </c>
      <c r="AF34" s="20">
        <f>'Goals, Inventory, Budget'!K34</f>
        <v>2.5</v>
      </c>
      <c r="AG34" s="146" t="str">
        <f t="shared" si="10"/>
        <v>price?</v>
      </c>
      <c r="AH34" s="147" t="str">
        <f t="shared" si="11"/>
        <v>price?</v>
      </c>
      <c r="AI34" s="147" t="str">
        <f t="shared" si="12"/>
        <v>price?</v>
      </c>
      <c r="AJ34" s="287" t="str">
        <f t="shared" si="13"/>
        <v>price?</v>
      </c>
      <c r="AK34" s="297"/>
    </row>
    <row r="35" spans="2:37" ht="12.75">
      <c r="B35" s="555"/>
      <c r="C35" s="104" t="s">
        <v>115</v>
      </c>
      <c r="D35" s="98" t="s">
        <v>19</v>
      </c>
      <c r="E35" s="1"/>
      <c r="F35" s="504" t="s">
        <v>23</v>
      </c>
      <c r="G35" s="61">
        <f t="shared" si="3"/>
      </c>
      <c r="H35" s="38">
        <f t="shared" si="4"/>
      </c>
      <c r="I35" s="40">
        <f t="shared" si="5"/>
      </c>
      <c r="J35" s="19">
        <f t="shared" si="6"/>
      </c>
      <c r="K35" s="20">
        <f t="shared" si="7"/>
      </c>
      <c r="L35" s="21">
        <f t="shared" si="2"/>
      </c>
      <c r="M35" s="108" t="str">
        <f>'Goals, Inventory, Budget'!C35</f>
        <v>beans (from dried beans)</v>
      </c>
      <c r="N35" s="11" t="str">
        <f>'Goals, Inventory, Budget'!F35</f>
        <v>lbs</v>
      </c>
      <c r="O35" s="60">
        <f>'Goals, Inventory, Budget'!G35</f>
      </c>
      <c r="P35" s="227">
        <f t="shared" si="8"/>
        <v>0</v>
      </c>
      <c r="Q35" s="137"/>
      <c r="R35" s="138"/>
      <c r="S35" s="30"/>
      <c r="T35" s="31"/>
      <c r="U35" s="139"/>
      <c r="V35" s="140">
        <f t="shared" si="9"/>
        <v>0</v>
      </c>
      <c r="W35" s="1"/>
      <c r="X35" s="136"/>
      <c r="Y35" s="141"/>
      <c r="Z35" s="506" t="str">
        <f>'Goals, Inventory, Budget'!C35</f>
        <v>beans (from dried beans)</v>
      </c>
      <c r="AA35" s="61">
        <f>'Goals, Inventory, Budget'!G35</f>
      </c>
      <c r="AB35" s="11" t="str">
        <f>'Goals, Inventory, Budget'!F35</f>
        <v>lbs</v>
      </c>
      <c r="AC35" s="74"/>
      <c r="AD35" s="40">
        <f>'Goals, Inventory, Budget'!I35</f>
      </c>
      <c r="AE35" s="19">
        <f>'Goals, Inventory, Budget'!J35</f>
      </c>
      <c r="AF35" s="20">
        <f>'Goals, Inventory, Budget'!K35</f>
      </c>
      <c r="AG35" s="146">
        <f t="shared" si="10"/>
      </c>
      <c r="AH35" s="147">
        <f t="shared" si="11"/>
      </c>
      <c r="AI35" s="147">
        <f t="shared" si="12"/>
      </c>
      <c r="AJ35" s="236">
        <f t="shared" si="13"/>
      </c>
      <c r="AK35" s="297"/>
    </row>
    <row r="36" spans="2:37" ht="12.75">
      <c r="B36" s="555"/>
      <c r="C36" s="104" t="s">
        <v>29</v>
      </c>
      <c r="D36" s="98" t="s">
        <v>184</v>
      </c>
      <c r="E36" s="1"/>
      <c r="F36" s="504" t="s">
        <v>23</v>
      </c>
      <c r="G36" s="61">
        <f t="shared" si="3"/>
      </c>
      <c r="H36" s="38">
        <f t="shared" si="4"/>
      </c>
      <c r="I36" s="40">
        <f t="shared" si="5"/>
      </c>
      <c r="J36" s="19">
        <f t="shared" si="6"/>
      </c>
      <c r="K36" s="20">
        <f t="shared" si="7"/>
      </c>
      <c r="L36" s="21">
        <f t="shared" si="2"/>
      </c>
      <c r="M36" s="108" t="str">
        <f>'Goals, Inventory, Budget'!C36</f>
        <v>rice</v>
      </c>
      <c r="N36" s="11" t="str">
        <f>'Goals, Inventory, Budget'!F36</f>
        <v>lbs</v>
      </c>
      <c r="O36" s="60">
        <f>'Goals, Inventory, Budget'!G36</f>
      </c>
      <c r="P36" s="227">
        <f t="shared" si="8"/>
        <v>0</v>
      </c>
      <c r="Q36" s="137"/>
      <c r="R36" s="138"/>
      <c r="S36" s="30"/>
      <c r="T36" s="31"/>
      <c r="U36" s="139"/>
      <c r="V36" s="140">
        <f t="shared" si="9"/>
        <v>0</v>
      </c>
      <c r="W36" s="1"/>
      <c r="X36" s="136"/>
      <c r="Y36" s="141"/>
      <c r="Z36" s="506" t="str">
        <f>'Goals, Inventory, Budget'!C36</f>
        <v>rice</v>
      </c>
      <c r="AA36" s="61">
        <f>'Goals, Inventory, Budget'!G36</f>
      </c>
      <c r="AB36" s="11" t="str">
        <f>'Goals, Inventory, Budget'!F36</f>
        <v>lbs</v>
      </c>
      <c r="AC36" s="74"/>
      <c r="AD36" s="40">
        <f>'Goals, Inventory, Budget'!I36</f>
      </c>
      <c r="AE36" s="19">
        <f>'Goals, Inventory, Budget'!J36</f>
      </c>
      <c r="AF36" s="20">
        <f>'Goals, Inventory, Budget'!K36</f>
      </c>
      <c r="AG36" s="146">
        <f t="shared" si="10"/>
      </c>
      <c r="AH36" s="147">
        <f t="shared" si="11"/>
      </c>
      <c r="AI36" s="147">
        <f t="shared" si="12"/>
      </c>
      <c r="AJ36" s="236">
        <f t="shared" si="13"/>
      </c>
      <c r="AK36" s="297"/>
    </row>
    <row r="37" spans="2:37" ht="12.75">
      <c r="B37" s="555"/>
      <c r="C37" s="104" t="s">
        <v>27</v>
      </c>
      <c r="D37" s="98" t="s">
        <v>184</v>
      </c>
      <c r="E37" s="1"/>
      <c r="F37" s="504" t="s">
        <v>23</v>
      </c>
      <c r="G37" s="61">
        <f t="shared" si="3"/>
      </c>
      <c r="H37" s="38">
        <f t="shared" si="4"/>
      </c>
      <c r="I37" s="40">
        <f t="shared" si="5"/>
      </c>
      <c r="J37" s="19">
        <f t="shared" si="6"/>
      </c>
      <c r="K37" s="20">
        <f t="shared" si="7"/>
      </c>
      <c r="L37" s="21">
        <f t="shared" si="2"/>
      </c>
      <c r="M37" s="108" t="str">
        <f>'Goals, Inventory, Budget'!C37</f>
        <v>barley</v>
      </c>
      <c r="N37" s="11" t="str">
        <f>'Goals, Inventory, Budget'!F37</f>
        <v>lbs</v>
      </c>
      <c r="O37" s="60">
        <f>'Goals, Inventory, Budget'!G37</f>
      </c>
      <c r="P37" s="227">
        <f t="shared" si="8"/>
        <v>0</v>
      </c>
      <c r="Q37" s="137"/>
      <c r="R37" s="138"/>
      <c r="S37" s="30"/>
      <c r="T37" s="31"/>
      <c r="U37" s="139"/>
      <c r="V37" s="140">
        <f t="shared" si="9"/>
        <v>0</v>
      </c>
      <c r="W37" s="1"/>
      <c r="X37" s="136"/>
      <c r="Y37" s="141"/>
      <c r="Z37" s="506" t="str">
        <f>'Goals, Inventory, Budget'!C37</f>
        <v>barley</v>
      </c>
      <c r="AA37" s="61">
        <f>'Goals, Inventory, Budget'!G37</f>
      </c>
      <c r="AB37" s="11" t="str">
        <f>'Goals, Inventory, Budget'!F37</f>
        <v>lbs</v>
      </c>
      <c r="AC37" s="74"/>
      <c r="AD37" s="40">
        <f>'Goals, Inventory, Budget'!I37</f>
      </c>
      <c r="AE37" s="19">
        <f>'Goals, Inventory, Budget'!J37</f>
      </c>
      <c r="AF37" s="20">
        <f>'Goals, Inventory, Budget'!K37</f>
      </c>
      <c r="AG37" s="146">
        <f t="shared" si="10"/>
      </c>
      <c r="AH37" s="147">
        <f t="shared" si="11"/>
      </c>
      <c r="AI37" s="147">
        <f t="shared" si="12"/>
      </c>
      <c r="AJ37" s="236">
        <f t="shared" si="13"/>
      </c>
      <c r="AK37" s="297"/>
    </row>
    <row r="38" spans="2:37" ht="12.75">
      <c r="B38" s="555"/>
      <c r="C38" s="104" t="s">
        <v>26</v>
      </c>
      <c r="D38" s="98" t="s">
        <v>184</v>
      </c>
      <c r="E38" s="1"/>
      <c r="F38" s="504" t="s">
        <v>23</v>
      </c>
      <c r="G38" s="61">
        <f t="shared" si="3"/>
      </c>
      <c r="H38" s="38">
        <f t="shared" si="4"/>
      </c>
      <c r="I38" s="40">
        <f t="shared" si="5"/>
      </c>
      <c r="J38" s="19">
        <f t="shared" si="6"/>
      </c>
      <c r="K38" s="20">
        <f t="shared" si="7"/>
      </c>
      <c r="L38" s="21">
        <f t="shared" si="2"/>
      </c>
      <c r="M38" s="108" t="str">
        <f>'Goals, Inventory, Budget'!C38</f>
        <v>rye</v>
      </c>
      <c r="N38" s="11" t="str">
        <f>'Goals, Inventory, Budget'!F38</f>
        <v>lbs</v>
      </c>
      <c r="O38" s="60">
        <f>'Goals, Inventory, Budget'!G38</f>
      </c>
      <c r="P38" s="227">
        <f t="shared" si="8"/>
        <v>0</v>
      </c>
      <c r="Q38" s="137"/>
      <c r="R38" s="138"/>
      <c r="S38" s="30"/>
      <c r="T38" s="31"/>
      <c r="U38" s="139"/>
      <c r="V38" s="140">
        <f t="shared" si="9"/>
        <v>0</v>
      </c>
      <c r="W38" s="1"/>
      <c r="X38" s="136"/>
      <c r="Y38" s="141"/>
      <c r="Z38" s="506" t="str">
        <f>'Goals, Inventory, Budget'!C38</f>
        <v>rye</v>
      </c>
      <c r="AA38" s="61">
        <f>'Goals, Inventory, Budget'!G38</f>
      </c>
      <c r="AB38" s="11" t="str">
        <f>'Goals, Inventory, Budget'!F38</f>
        <v>lbs</v>
      </c>
      <c r="AC38" s="74"/>
      <c r="AD38" s="40">
        <f>'Goals, Inventory, Budget'!I38</f>
      </c>
      <c r="AE38" s="19">
        <f>'Goals, Inventory, Budget'!J38</f>
      </c>
      <c r="AF38" s="20">
        <f>'Goals, Inventory, Budget'!K38</f>
      </c>
      <c r="AG38" s="146">
        <f t="shared" si="10"/>
      </c>
      <c r="AH38" s="147">
        <f t="shared" si="11"/>
      </c>
      <c r="AI38" s="147">
        <f t="shared" si="12"/>
      </c>
      <c r="AJ38" s="236">
        <f t="shared" si="13"/>
      </c>
      <c r="AK38" s="297"/>
    </row>
    <row r="39" spans="2:37" ht="13.5" thickBot="1">
      <c r="B39" s="555"/>
      <c r="C39" s="168" t="s">
        <v>156</v>
      </c>
      <c r="D39" s="100" t="s">
        <v>154</v>
      </c>
      <c r="E39" s="2"/>
      <c r="F39" s="588" t="s">
        <v>23</v>
      </c>
      <c r="G39" s="62">
        <f t="shared" si="3"/>
      </c>
      <c r="H39" s="265">
        <f t="shared" si="4"/>
      </c>
      <c r="I39" s="73">
        <f t="shared" si="5"/>
      </c>
      <c r="J39" s="56">
        <f t="shared" si="6"/>
      </c>
      <c r="K39" s="57">
        <f t="shared" si="7"/>
      </c>
      <c r="L39" s="21">
        <f t="shared" si="2"/>
      </c>
      <c r="M39" s="108" t="str">
        <f>'Goals, Inventory, Budget'!C39</f>
        <v>wheat-bran, fresh ground</v>
      </c>
      <c r="N39" s="11" t="str">
        <f>'Goals, Inventory, Budget'!F39</f>
        <v>lbs</v>
      </c>
      <c r="O39" s="60">
        <f>'Goals, Inventory, Budget'!G39</f>
      </c>
      <c r="P39" s="227">
        <f t="shared" si="8"/>
        <v>0</v>
      </c>
      <c r="Q39" s="137"/>
      <c r="R39" s="138"/>
      <c r="S39" s="30"/>
      <c r="T39" s="31"/>
      <c r="U39" s="139"/>
      <c r="V39" s="140">
        <f t="shared" si="9"/>
        <v>0</v>
      </c>
      <c r="W39" s="1"/>
      <c r="X39" s="136"/>
      <c r="Y39" s="141"/>
      <c r="Z39" s="589" t="str">
        <f>'Goals, Inventory, Budget'!C39</f>
        <v>wheat-bran, fresh ground</v>
      </c>
      <c r="AA39" s="62">
        <f>'Goals, Inventory, Budget'!G39</f>
      </c>
      <c r="AB39" s="22" t="str">
        <f>'Goals, Inventory, Budget'!F39</f>
        <v>lbs</v>
      </c>
      <c r="AC39" s="81"/>
      <c r="AD39" s="73">
        <f>'Goals, Inventory, Budget'!I39</f>
      </c>
      <c r="AE39" s="56">
        <f>'Goals, Inventory, Budget'!J39</f>
      </c>
      <c r="AF39" s="57">
        <f>'Goals, Inventory, Budget'!K39</f>
      </c>
      <c r="AG39" s="148">
        <f t="shared" si="10"/>
      </c>
      <c r="AH39" s="149">
        <f t="shared" si="11"/>
      </c>
      <c r="AI39" s="149">
        <f t="shared" si="12"/>
      </c>
      <c r="AJ39" s="246">
        <f t="shared" si="13"/>
      </c>
      <c r="AK39" s="297"/>
    </row>
    <row r="40" spans="2:37" ht="13.5" thickTop="1">
      <c r="B40" s="555"/>
      <c r="C40" s="517" t="s">
        <v>30</v>
      </c>
      <c r="D40" s="518"/>
      <c r="E40" s="122">
        <f>SUM(E33:E39)</f>
        <v>10</v>
      </c>
      <c r="F40" s="122" t="s">
        <v>23</v>
      </c>
      <c r="G40" s="59">
        <f>FamilyFactor*E40</f>
        <v>10</v>
      </c>
      <c r="H40" s="224">
        <f>P40</f>
        <v>0</v>
      </c>
      <c r="I40" s="41">
        <f t="shared" si="5"/>
        <v>10</v>
      </c>
      <c r="J40" s="52">
        <f>IF((G40/2-H40)&lt;=0,0,G40/2-H40)</f>
        <v>5</v>
      </c>
      <c r="K40" s="53">
        <f>IF((G40/4-H40)&lt;=0,0,G40/4-H40)</f>
        <v>2.5</v>
      </c>
      <c r="L40" s="27"/>
      <c r="M40" s="173" t="str">
        <f>'Goals, Inventory, Budget'!C40</f>
        <v>Total Flours</v>
      </c>
      <c r="N40" s="126" t="str">
        <f>'Goals, Inventory, Budget'!F40</f>
        <v>lbs</v>
      </c>
      <c r="O40" s="59">
        <f>'Goals, Inventory, Budget'!G40</f>
        <v>10</v>
      </c>
      <c r="P40" s="224">
        <f>SUM(P33:P39)</f>
        <v>0</v>
      </c>
      <c r="Q40" s="591"/>
      <c r="R40" s="592"/>
      <c r="S40" s="593"/>
      <c r="T40" s="592"/>
      <c r="U40" s="593"/>
      <c r="V40" s="592"/>
      <c r="W40" s="594"/>
      <c r="X40" s="592"/>
      <c r="Y40" s="595"/>
      <c r="Z40" s="519" t="str">
        <f>'Goals, Inventory, Budget'!C40</f>
        <v>Total Flours</v>
      </c>
      <c r="AA40" s="59">
        <f>'Goals, Inventory, Budget'!G40</f>
        <v>10</v>
      </c>
      <c r="AB40" s="126" t="str">
        <f>'Goals, Inventory, Budget'!F40</f>
        <v>lbs</v>
      </c>
      <c r="AC40" s="84"/>
      <c r="AD40" s="41">
        <f>'Goals, Inventory, Budget'!I40</f>
        <v>10</v>
      </c>
      <c r="AE40" s="52">
        <f>'Goals, Inventory, Budget'!J40</f>
        <v>5</v>
      </c>
      <c r="AF40" s="53">
        <f>'Goals, Inventory, Budget'!K40</f>
        <v>2.5</v>
      </c>
      <c r="AG40" s="144">
        <f>SUM(AG33:AG39)</f>
        <v>0</v>
      </c>
      <c r="AH40" s="145">
        <f>SUM(AH33:AH39)</f>
        <v>0</v>
      </c>
      <c r="AI40" s="233">
        <f>SUM(AI33:AI39)</f>
        <v>0</v>
      </c>
      <c r="AJ40" s="249">
        <f>SUM(AJ33:AJ39)</f>
        <v>0</v>
      </c>
      <c r="AK40" s="605"/>
    </row>
    <row r="41" spans="2:37" ht="12.75">
      <c r="B41" s="555"/>
      <c r="C41" s="498" t="s">
        <v>230</v>
      </c>
      <c r="D41" s="572"/>
      <c r="E41" s="572"/>
      <c r="F41" s="572"/>
      <c r="G41" s="572"/>
      <c r="H41" s="573" t="s">
        <v>232</v>
      </c>
      <c r="I41" s="597"/>
      <c r="J41" s="597"/>
      <c r="K41" s="598"/>
      <c r="L41" s="109">
        <f>E45/$J$21</f>
        <v>0.064</v>
      </c>
      <c r="M41" s="308" t="str">
        <f>'Goals, Inventory, Budget'!C41</f>
        <v>Rice, whole grain (Recommended: 7% of Major Category minimum)</v>
      </c>
      <c r="N41" s="309">
        <f>'Goals, Inventory, Budget'!F41</f>
        <v>0</v>
      </c>
      <c r="O41" s="309">
        <f>'Goals, Inventory, Budget'!G41</f>
        <v>0</v>
      </c>
      <c r="P41" s="309" t="str">
        <f>'Goals, Inventory, Budget'!H41</f>
        <v>Actual percentage of major category:</v>
      </c>
      <c r="Q41" s="309">
        <f>'Goals, Inventory, Budget'!I41</f>
        <v>0</v>
      </c>
      <c r="R41" s="309">
        <f>'Goals, Inventory, Budget'!J41</f>
        <v>0</v>
      </c>
      <c r="S41" s="309">
        <f>'Goals, Inventory, Budget'!K41</f>
        <v>0</v>
      </c>
      <c r="T41" s="117"/>
      <c r="U41" s="118"/>
      <c r="V41" s="117"/>
      <c r="W41" s="119"/>
      <c r="X41" s="117"/>
      <c r="Y41" s="120"/>
      <c r="Z41" s="308" t="str">
        <f>'Goals, Inventory, Budget'!C41</f>
        <v>Rice, whole grain (Recommended: 7% of Major Category minimum)</v>
      </c>
      <c r="AA41" s="309"/>
      <c r="AB41" s="309"/>
      <c r="AC41" s="309"/>
      <c r="AD41" s="606"/>
      <c r="AE41" s="606"/>
      <c r="AF41" s="600"/>
      <c r="AG41" s="601"/>
      <c r="AH41" s="601"/>
      <c r="AI41" s="601"/>
      <c r="AJ41" s="607"/>
      <c r="AK41" s="603"/>
    </row>
    <row r="42" spans="2:37" ht="12.75">
      <c r="B42" s="555"/>
      <c r="C42" s="104" t="s">
        <v>224</v>
      </c>
      <c r="D42" s="98" t="s">
        <v>182</v>
      </c>
      <c r="E42" s="1">
        <v>35</v>
      </c>
      <c r="F42" s="504" t="s">
        <v>23</v>
      </c>
      <c r="G42" s="61">
        <f>IF(E42=0,"",FamilyFactor*E42)</f>
        <v>35</v>
      </c>
      <c r="H42" s="38">
        <f>IF(P42=0,"",P42)</f>
      </c>
      <c r="I42" s="40">
        <f>IF(G42="","",IF(H42="",G42-0,IF(G42&lt;H42,0,G42-H42)))</f>
        <v>35</v>
      </c>
      <c r="J42" s="19">
        <f>IF(G42="","",IF(H42="",G42/2-0,IF((G42/2-H42)&lt;=0,0,G42/2-H42)))</f>
        <v>17.5</v>
      </c>
      <c r="K42" s="20">
        <f>IF(G42="","",IF(H42="",G42/4-0,IF((G42/4-H42)&lt;=0,0,G42/4-H42)))</f>
        <v>8.75</v>
      </c>
      <c r="L42" s="21">
        <f>IF(H42="","",IF(D42="indefinite",0,IF(D42="varies","varies",H42/D42)))</f>
      </c>
      <c r="M42" s="108" t="str">
        <f>'Goals, Inventory, Budget'!C42</f>
        <v>rice, white</v>
      </c>
      <c r="N42" s="11" t="str">
        <f>'Goals, Inventory, Budget'!F42</f>
        <v>lbs</v>
      </c>
      <c r="O42" s="60">
        <f>'Goals, Inventory, Budget'!G42</f>
        <v>35</v>
      </c>
      <c r="P42" s="227">
        <f>Q42*R42+S42*T42+U42*V42+X42*Y42</f>
        <v>0</v>
      </c>
      <c r="Q42" s="137"/>
      <c r="R42" s="138"/>
      <c r="S42" s="30"/>
      <c r="T42" s="31"/>
      <c r="U42" s="139"/>
      <c r="V42" s="140">
        <f>IF(R42=0,0,R42*5/0.75)</f>
        <v>0</v>
      </c>
      <c r="W42" s="1"/>
      <c r="X42" s="136"/>
      <c r="Y42" s="141"/>
      <c r="Z42" s="506" t="str">
        <f>'Goals, Inventory, Budget'!C42</f>
        <v>rice, white</v>
      </c>
      <c r="AA42" s="61">
        <f>'Goals, Inventory, Budget'!G42</f>
        <v>35</v>
      </c>
      <c r="AB42" s="11" t="str">
        <f>'Goals, Inventory, Budget'!F42</f>
        <v>lbs</v>
      </c>
      <c r="AC42" s="74">
        <v>0.19</v>
      </c>
      <c r="AD42" s="40">
        <f>'Goals, Inventory, Budget'!I42</f>
        <v>35</v>
      </c>
      <c r="AE42" s="19">
        <f>'Goals, Inventory, Budget'!J42</f>
        <v>17.5</v>
      </c>
      <c r="AF42" s="20">
        <f>'Goals, Inventory, Budget'!K42</f>
        <v>8.75</v>
      </c>
      <c r="AG42" s="146">
        <f>IF(AA42="","",IF(AC42=0,"price?",AD42*AC42))</f>
        <v>6.65</v>
      </c>
      <c r="AH42" s="147">
        <f>IF(AA42="","",IF(AC42=0,"price?",AE42*AC42))</f>
        <v>3.325</v>
      </c>
      <c r="AI42" s="147">
        <f>IF(AA42="","",IF(AC42=0,"price?",AF42*AC42))</f>
        <v>1.6625</v>
      </c>
      <c r="AJ42" s="236">
        <f>IF(AA42="","",IF(AC42=0,"price?",IF(AD42=0,0,AA42*AC42/12)))</f>
        <v>0.5541666666666667</v>
      </c>
      <c r="AK42" s="297"/>
    </row>
    <row r="43" spans="2:37" ht="12.75">
      <c r="B43" s="555"/>
      <c r="C43" s="104" t="s">
        <v>225</v>
      </c>
      <c r="D43" s="98" t="s">
        <v>177</v>
      </c>
      <c r="E43" s="1">
        <v>5</v>
      </c>
      <c r="F43" s="504" t="s">
        <v>23</v>
      </c>
      <c r="G43" s="61">
        <f>IF(E43=0,"",FamilyFactor*E43)</f>
        <v>5</v>
      </c>
      <c r="H43" s="38">
        <f>IF(P43=0,"",P43)</f>
      </c>
      <c r="I43" s="40">
        <f>IF(G43="","",IF(H43="",G43-0,IF(G43&lt;H43,0,G43-H43)))</f>
        <v>5</v>
      </c>
      <c r="J43" s="19">
        <f>IF(G43="","",IF(H43="",G43/2-0,IF((G43/2-H43)&lt;=0,0,G43/2-H43)))</f>
        <v>2.5</v>
      </c>
      <c r="K43" s="20">
        <f>IF(G43="","",IF(H43="",G43/4-0,IF((G43/4-H43)&lt;=0,0,G43/4-H43)))</f>
        <v>1.25</v>
      </c>
      <c r="L43" s="21">
        <f>IF(H43="","",IF(D43="indefinite",0,IF(D43="varies","varies",H43/D43)))</f>
      </c>
      <c r="M43" s="108" t="str">
        <f>'Goals, Inventory, Budget'!C43</f>
        <v>rice, wild</v>
      </c>
      <c r="N43" s="11" t="str">
        <f>'Goals, Inventory, Budget'!F43</f>
        <v>lbs</v>
      </c>
      <c r="O43" s="60">
        <f>'Goals, Inventory, Budget'!G43</f>
        <v>5</v>
      </c>
      <c r="P43" s="227">
        <f>Q43*R43+S43*T43+U43*V43+X43*Y43</f>
        <v>0</v>
      </c>
      <c r="Q43" s="137"/>
      <c r="R43" s="138"/>
      <c r="S43" s="30"/>
      <c r="T43" s="31"/>
      <c r="U43" s="139"/>
      <c r="V43" s="140">
        <f>IF(R43=0,0,R43*5/0.75)</f>
        <v>0</v>
      </c>
      <c r="W43" s="1"/>
      <c r="X43" s="136"/>
      <c r="Y43" s="141"/>
      <c r="Z43" s="506" t="str">
        <f>'Goals, Inventory, Budget'!C43</f>
        <v>rice, wild</v>
      </c>
      <c r="AA43" s="61">
        <f>'Goals, Inventory, Budget'!G43</f>
        <v>5</v>
      </c>
      <c r="AB43" s="11" t="str">
        <f>'Goals, Inventory, Budget'!F43</f>
        <v>lbs</v>
      </c>
      <c r="AC43" s="74"/>
      <c r="AD43" s="40">
        <f>'Goals, Inventory, Budget'!I43</f>
        <v>5</v>
      </c>
      <c r="AE43" s="19">
        <f>'Goals, Inventory, Budget'!J43</f>
        <v>2.5</v>
      </c>
      <c r="AF43" s="20">
        <f>'Goals, Inventory, Budget'!K43</f>
        <v>1.25</v>
      </c>
      <c r="AG43" s="146" t="str">
        <f>IF(AA43="","",IF(AC43=0,"price?",AD43*AC43))</f>
        <v>price?</v>
      </c>
      <c r="AH43" s="147" t="str">
        <f>IF(AA43="","",IF(AC43=0,"price?",AE43*AC43))</f>
        <v>price?</v>
      </c>
      <c r="AI43" s="147" t="str">
        <f>IF(AA43="","",IF(AC43=0,"price?",AF43*AC43))</f>
        <v>price?</v>
      </c>
      <c r="AJ43" s="236" t="str">
        <f>IF(AA43="","",IF(AC43=0,"price?",IF(AD43=0,0,AA43*AC43/12)))</f>
        <v>price?</v>
      </c>
      <c r="AK43" s="297"/>
    </row>
    <row r="44" spans="2:37" ht="13.5" thickBot="1">
      <c r="B44" s="555"/>
      <c r="C44" s="168" t="s">
        <v>31</v>
      </c>
      <c r="D44" s="100" t="s">
        <v>185</v>
      </c>
      <c r="E44" s="2"/>
      <c r="F44" s="588" t="s">
        <v>23</v>
      </c>
      <c r="G44" s="62">
        <f>IF(E44=0,"",FamilyFactor*E44)</f>
      </c>
      <c r="H44" s="265">
        <f>IF(P44=0,"",P44)</f>
      </c>
      <c r="I44" s="73">
        <f>IF(G44="","",IF(H44="",G44-0,IF(G44&lt;H44,0,G44-H44)))</f>
      </c>
      <c r="J44" s="56">
        <f>IF(G44="","",IF(H44="",G44/2-0,IF((G44/2-H44)&lt;=0,0,G44/2-H44)))</f>
      </c>
      <c r="K44" s="57">
        <f>IF(G44="","",IF(H44="",G44/4-0,IF((G44/4-H44)&lt;=0,0,G44/4-H44)))</f>
      </c>
      <c r="L44" s="21">
        <f>IF(H44="","",IF(D44="indefinite",0,IF(D44="varies","varies",H44/D44)))</f>
      </c>
      <c r="M44" s="108" t="str">
        <f>'Goals, Inventory, Budget'!C44</f>
        <v>rice, brown</v>
      </c>
      <c r="N44" s="11" t="str">
        <f>'Goals, Inventory, Budget'!F44</f>
        <v>lbs</v>
      </c>
      <c r="O44" s="60">
        <f>'Goals, Inventory, Budget'!G44</f>
      </c>
      <c r="P44" s="227">
        <f>Q44*R44+S44*T44+U44*V44+X44*Y44</f>
        <v>0</v>
      </c>
      <c r="Q44" s="137"/>
      <c r="R44" s="138"/>
      <c r="S44" s="30"/>
      <c r="T44" s="31"/>
      <c r="U44" s="139"/>
      <c r="V44" s="140">
        <f>IF(R44=0,0,R44*5/0.75)</f>
        <v>0</v>
      </c>
      <c r="W44" s="1"/>
      <c r="X44" s="136"/>
      <c r="Y44" s="141"/>
      <c r="Z44" s="589" t="str">
        <f>'Goals, Inventory, Budget'!C44</f>
        <v>rice, brown</v>
      </c>
      <c r="AA44" s="62">
        <f>'Goals, Inventory, Budget'!G44</f>
      </c>
      <c r="AB44" s="22" t="str">
        <f>'Goals, Inventory, Budget'!F44</f>
        <v>lbs</v>
      </c>
      <c r="AC44" s="81"/>
      <c r="AD44" s="73">
        <f>'Goals, Inventory, Budget'!I44</f>
      </c>
      <c r="AE44" s="56">
        <f>'Goals, Inventory, Budget'!J44</f>
      </c>
      <c r="AF44" s="57">
        <f>'Goals, Inventory, Budget'!K44</f>
      </c>
      <c r="AG44" s="148">
        <f>IF(AA44="","",IF(AC44=0,"price?",AD44*AC44))</f>
      </c>
      <c r="AH44" s="149">
        <f>IF(AA44="","",IF(AC44=0,"price?",AE44*AC44))</f>
      </c>
      <c r="AI44" s="149">
        <f>IF(AA44="","",IF(AC44=0,"price?",AF44*AC44))</f>
      </c>
      <c r="AJ44" s="246">
        <f>IF(AA44="","",IF(AC44=0,"price?",IF(AD44=0,0,AA44*AC44/12)))</f>
      </c>
      <c r="AK44" s="297"/>
    </row>
    <row r="45" spans="2:37" ht="13.5" thickTop="1">
      <c r="B45" s="555"/>
      <c r="C45" s="517" t="s">
        <v>32</v>
      </c>
      <c r="D45" s="518"/>
      <c r="E45" s="122">
        <f>SUM(E42:E44)</f>
        <v>40</v>
      </c>
      <c r="F45" s="122" t="s">
        <v>23</v>
      </c>
      <c r="G45" s="59">
        <f>FamilyFactor*E45</f>
        <v>40</v>
      </c>
      <c r="H45" s="224">
        <f>P45</f>
        <v>0</v>
      </c>
      <c r="I45" s="41">
        <f>IF(G45="","",IF(H45="",G45-0,IF(G45&lt;H45,0,G45-H45)))</f>
        <v>40</v>
      </c>
      <c r="J45" s="52">
        <f>IF((G45/2-H45)&lt;=0,0,G45/2-H45)</f>
        <v>20</v>
      </c>
      <c r="K45" s="53">
        <f>IF((G45/4-H45)&lt;=0,0,G45/4-H45)</f>
        <v>10</v>
      </c>
      <c r="L45" s="27"/>
      <c r="M45" s="173" t="str">
        <f>'Goals, Inventory, Budget'!C45</f>
        <v>Total Rice</v>
      </c>
      <c r="N45" s="126" t="str">
        <f>'Goals, Inventory, Budget'!F45</f>
        <v>lbs</v>
      </c>
      <c r="O45" s="59">
        <f>'Goals, Inventory, Budget'!G45</f>
        <v>40</v>
      </c>
      <c r="P45" s="224">
        <f>SUM(P42:P44)</f>
        <v>0</v>
      </c>
      <c r="Q45" s="591"/>
      <c r="R45" s="592"/>
      <c r="S45" s="593"/>
      <c r="T45" s="592"/>
      <c r="U45" s="593"/>
      <c r="V45" s="592"/>
      <c r="W45" s="594"/>
      <c r="X45" s="592"/>
      <c r="Y45" s="595"/>
      <c r="Z45" s="519" t="str">
        <f>'Goals, Inventory, Budget'!C45</f>
        <v>Total Rice</v>
      </c>
      <c r="AA45" s="59">
        <f>'Goals, Inventory, Budget'!G45</f>
        <v>40</v>
      </c>
      <c r="AB45" s="126" t="str">
        <f>'Goals, Inventory, Budget'!F45</f>
        <v>lbs</v>
      </c>
      <c r="AC45" s="84"/>
      <c r="AD45" s="41">
        <f>'Goals, Inventory, Budget'!I45</f>
        <v>40</v>
      </c>
      <c r="AE45" s="52">
        <f>'Goals, Inventory, Budget'!J45</f>
        <v>20</v>
      </c>
      <c r="AF45" s="53">
        <f>'Goals, Inventory, Budget'!K45</f>
        <v>10</v>
      </c>
      <c r="AG45" s="144">
        <f>SUM(AG42:AG44)</f>
        <v>6.65</v>
      </c>
      <c r="AH45" s="145">
        <f>SUM(AH42:AH44)</f>
        <v>3.325</v>
      </c>
      <c r="AI45" s="233">
        <f>SUM(AI42:AI44)</f>
        <v>1.6625</v>
      </c>
      <c r="AJ45" s="249">
        <f>SUM(AJ42:AJ44)</f>
        <v>0.5541666666666667</v>
      </c>
      <c r="AK45" s="605"/>
    </row>
    <row r="46" spans="2:37" ht="12.75">
      <c r="B46" s="555"/>
      <c r="C46" s="498" t="s">
        <v>231</v>
      </c>
      <c r="D46" s="572"/>
      <c r="E46" s="572"/>
      <c r="F46" s="572"/>
      <c r="G46" s="572"/>
      <c r="H46" s="573" t="s">
        <v>232</v>
      </c>
      <c r="I46" s="597"/>
      <c r="J46" s="597"/>
      <c r="K46" s="598"/>
      <c r="L46" s="109">
        <f>E49/$J$21</f>
        <v>0</v>
      </c>
      <c r="M46" s="308" t="str">
        <f>'Goals, Inventory, Budget'!C46</f>
        <v>Pasta (Recommended: 6% of Major Category minimum)</v>
      </c>
      <c r="N46" s="309">
        <f>'Goals, Inventory, Budget'!F46</f>
        <v>0</v>
      </c>
      <c r="O46" s="309">
        <f>'Goals, Inventory, Budget'!G46</f>
        <v>0</v>
      </c>
      <c r="P46" s="309" t="str">
        <f>'Goals, Inventory, Budget'!H46</f>
        <v>Actual percentage of major category:</v>
      </c>
      <c r="Q46" s="309">
        <f>'Goals, Inventory, Budget'!I46</f>
        <v>0</v>
      </c>
      <c r="R46" s="309">
        <f>'Goals, Inventory, Budget'!J46</f>
        <v>0</v>
      </c>
      <c r="S46" s="309">
        <f>'Goals, Inventory, Budget'!K46</f>
        <v>0</v>
      </c>
      <c r="T46" s="117"/>
      <c r="U46" s="118"/>
      <c r="V46" s="117"/>
      <c r="W46" s="119"/>
      <c r="X46" s="117"/>
      <c r="Y46" s="120"/>
      <c r="Z46" s="608" t="str">
        <f>'Goals, Inventory, Budget'!C46</f>
        <v>Pasta (Recommended: 6% of Major Category minimum)</v>
      </c>
      <c r="AA46" s="609"/>
      <c r="AB46" s="609"/>
      <c r="AC46" s="609"/>
      <c r="AD46" s="606"/>
      <c r="AE46" s="606"/>
      <c r="AF46" s="600"/>
      <c r="AG46" s="601"/>
      <c r="AH46" s="601"/>
      <c r="AI46" s="601"/>
      <c r="AJ46" s="607"/>
      <c r="AK46" s="603"/>
    </row>
    <row r="47" spans="2:37" ht="12.75">
      <c r="B47" s="555"/>
      <c r="C47" s="104" t="s">
        <v>33</v>
      </c>
      <c r="D47" s="98" t="s">
        <v>176</v>
      </c>
      <c r="E47" s="1"/>
      <c r="F47" s="504" t="s">
        <v>23</v>
      </c>
      <c r="G47" s="61">
        <f>IF(E47=0,"",FamilyFactor*E47)</f>
      </c>
      <c r="H47" s="38">
        <f>IF(P47=0,"",P47)</f>
      </c>
      <c r="I47" s="40">
        <f>IF(G47="","",IF(H47="",G47-0,IF(G47&lt;H47,0,G47-H47)))</f>
      </c>
      <c r="J47" s="19">
        <f>IF(G47="","",IF(H47="",G47/2-0,IF((G47/2-H47)&lt;=0,0,G47/2-H47)))</f>
      </c>
      <c r="K47" s="20">
        <f>IF(G47="","",IF(H47="",G47/4-0,IF((G47/4-H47)&lt;=0,0,G47/4-H47)))</f>
      </c>
      <c r="L47" s="21">
        <f>IF(H47="","",IF(D47="indefinite",0,IF(D47="varies","varies",H47/D47)))</f>
      </c>
      <c r="M47" s="108" t="str">
        <f>'Goals, Inventory, Budget'!C47</f>
        <v>lasagna, macaroni, spaghetti</v>
      </c>
      <c r="N47" s="11" t="str">
        <f>'Goals, Inventory, Budget'!F47</f>
        <v>lbs</v>
      </c>
      <c r="O47" s="60">
        <f>'Goals, Inventory, Budget'!G47</f>
      </c>
      <c r="P47" s="227">
        <f>Q47*R47+S47*T47+U47*V47+X47*Y47</f>
        <v>0</v>
      </c>
      <c r="Q47" s="137"/>
      <c r="R47" s="138"/>
      <c r="S47" s="30"/>
      <c r="T47" s="31"/>
      <c r="U47" s="139"/>
      <c r="V47" s="140">
        <f>IF(R47=0,0,R47*5/0.75)</f>
        <v>0</v>
      </c>
      <c r="W47" s="1"/>
      <c r="X47" s="136"/>
      <c r="Y47" s="141"/>
      <c r="Z47" s="506" t="str">
        <f>'Goals, Inventory, Budget'!C47</f>
        <v>lasagna, macaroni, spaghetti</v>
      </c>
      <c r="AA47" s="61">
        <f>'Goals, Inventory, Budget'!G47</f>
      </c>
      <c r="AB47" s="11" t="str">
        <f>'Goals, Inventory, Budget'!F47</f>
        <v>lbs</v>
      </c>
      <c r="AC47" s="74">
        <v>0.44</v>
      </c>
      <c r="AD47" s="40">
        <f>'Goals, Inventory, Budget'!I47</f>
      </c>
      <c r="AE47" s="19">
        <f>'Goals, Inventory, Budget'!J47</f>
      </c>
      <c r="AF47" s="20">
        <f>'Goals, Inventory, Budget'!K47</f>
      </c>
      <c r="AG47" s="146">
        <f>IF(AA47="","",IF(AC47=0,"price?",AD47*AC47))</f>
      </c>
      <c r="AH47" s="147">
        <f>IF(AA47="","",IF(AC47=0,"price?",AE47*AC47))</f>
      </c>
      <c r="AI47" s="147">
        <f>IF(AA47="","",IF(AC47=0,"price?",AF47*AC47))</f>
      </c>
      <c r="AJ47" s="236">
        <f>IF(AA47="","",IF(AC47=0,"price?",IF(AD47=0,0,AA47*AC47/12)))</f>
      </c>
      <c r="AK47" s="297"/>
    </row>
    <row r="48" spans="2:37" ht="13.5" thickBot="1">
      <c r="B48" s="555"/>
      <c r="C48" s="168" t="s">
        <v>34</v>
      </c>
      <c r="D48" s="100" t="s">
        <v>181</v>
      </c>
      <c r="E48" s="2"/>
      <c r="F48" s="588" t="s">
        <v>23</v>
      </c>
      <c r="G48" s="62">
        <f>IF(E48=0,"",FamilyFactor*E48)</f>
      </c>
      <c r="H48" s="265">
        <f>IF(P48=0,"",P48)</f>
      </c>
      <c r="I48" s="73">
        <f>IF(G48="","",IF(H48="",G48-0,IF(G48&lt;H48,0,G48-H48)))</f>
      </c>
      <c r="J48" s="56">
        <f>IF(G48="","",IF(H48="",G48/2-0,IF((G48/2-H48)&lt;=0,0,G48/2-H48)))</f>
      </c>
      <c r="K48" s="57">
        <f>IF(G48="","",IF(H48="",G48/4-0,IF((G48/4-H48)&lt;=0,0,G48/4-H48)))</f>
      </c>
      <c r="L48" s="21">
        <f>IF(H48="","",IF(D48="indefinite",0,IF(D48="varies","varies",H48/D48)))</f>
      </c>
      <c r="M48" s="108" t="str">
        <f>'Goals, Inventory, Budget'!C48</f>
        <v>noodles, egg</v>
      </c>
      <c r="N48" s="11" t="str">
        <f>'Goals, Inventory, Budget'!F48</f>
        <v>lbs</v>
      </c>
      <c r="O48" s="60">
        <f>'Goals, Inventory, Budget'!G48</f>
      </c>
      <c r="P48" s="227">
        <f>Q48*R48+S48*T48+U48*V48+X48*Y48</f>
        <v>0</v>
      </c>
      <c r="Q48" s="137"/>
      <c r="R48" s="138"/>
      <c r="S48" s="30"/>
      <c r="T48" s="31"/>
      <c r="U48" s="139"/>
      <c r="V48" s="140">
        <f>IF(R48=0,0,R48*5/0.75)</f>
        <v>0</v>
      </c>
      <c r="W48" s="1"/>
      <c r="X48" s="136"/>
      <c r="Y48" s="141"/>
      <c r="Z48" s="589" t="str">
        <f>'Goals, Inventory, Budget'!C48</f>
        <v>noodles, egg</v>
      </c>
      <c r="AA48" s="62">
        <f>'Goals, Inventory, Budget'!G48</f>
      </c>
      <c r="AB48" s="22" t="str">
        <f>'Goals, Inventory, Budget'!F48</f>
        <v>lbs</v>
      </c>
      <c r="AC48" s="81"/>
      <c r="AD48" s="73">
        <f>'Goals, Inventory, Budget'!I48</f>
      </c>
      <c r="AE48" s="56">
        <f>'Goals, Inventory, Budget'!J48</f>
      </c>
      <c r="AF48" s="57">
        <f>'Goals, Inventory, Budget'!K48</f>
      </c>
      <c r="AG48" s="148">
        <f>IF(AA48="","",IF(AC48=0,"price?",AD48*AC48))</f>
      </c>
      <c r="AH48" s="149">
        <f>IF(AA48="","",IF(AC48=0,"price?",AE48*AC48))</f>
      </c>
      <c r="AI48" s="149">
        <f>IF(AA48="","",IF(AC48=0,"price?",AF48*AC48))</f>
      </c>
      <c r="AJ48" s="246">
        <f>IF(AA48="","",IF(AC48=0,"price?",IF(AD48=0,0,AA48*AC48/12)))</f>
      </c>
      <c r="AK48" s="297"/>
    </row>
    <row r="49" spans="2:37" ht="13.5" thickTop="1">
      <c r="B49" s="555"/>
      <c r="C49" s="517" t="s">
        <v>35</v>
      </c>
      <c r="D49" s="518"/>
      <c r="E49" s="122">
        <f>SUM(E47:E48)</f>
        <v>0</v>
      </c>
      <c r="F49" s="122" t="s">
        <v>23</v>
      </c>
      <c r="G49" s="59">
        <f>FamilyFactor*E49</f>
        <v>0</v>
      </c>
      <c r="H49" s="224">
        <f>P49</f>
        <v>0</v>
      </c>
      <c r="I49" s="41">
        <f>IF(G49="","",IF(H49="",G49-0,IF(G49&lt;H49,0,G49-H49)))</f>
        <v>0</v>
      </c>
      <c r="J49" s="52">
        <f>IF((G49/2-H49)&lt;=0,0,G49/2-H49)</f>
        <v>0</v>
      </c>
      <c r="K49" s="53">
        <f>IF((G49/4-H49)&lt;=0,0,G49/4-H49)</f>
        <v>0</v>
      </c>
      <c r="L49" s="27"/>
      <c r="M49" s="173" t="str">
        <f>'Goals, Inventory, Budget'!C49</f>
        <v>Total Pasta</v>
      </c>
      <c r="N49" s="126" t="str">
        <f>'Goals, Inventory, Budget'!F49</f>
        <v>lbs</v>
      </c>
      <c r="O49" s="59">
        <f>'Goals, Inventory, Budget'!G49</f>
        <v>0</v>
      </c>
      <c r="P49" s="224">
        <f>SUM(P47:P48)</f>
        <v>0</v>
      </c>
      <c r="Q49" s="591"/>
      <c r="R49" s="592"/>
      <c r="S49" s="593"/>
      <c r="T49" s="592"/>
      <c r="U49" s="593"/>
      <c r="V49" s="592"/>
      <c r="W49" s="594"/>
      <c r="X49" s="592"/>
      <c r="Y49" s="595"/>
      <c r="Z49" s="519" t="str">
        <f>'Goals, Inventory, Budget'!C49</f>
        <v>Total Pasta</v>
      </c>
      <c r="AA49" s="59">
        <f>'Goals, Inventory, Budget'!G49</f>
        <v>0</v>
      </c>
      <c r="AB49" s="126" t="str">
        <f>'Goals, Inventory, Budget'!F49</f>
        <v>lbs</v>
      </c>
      <c r="AC49" s="84"/>
      <c r="AD49" s="41">
        <f>'Goals, Inventory, Budget'!I49</f>
        <v>0</v>
      </c>
      <c r="AE49" s="52">
        <f>'Goals, Inventory, Budget'!J49</f>
        <v>0</v>
      </c>
      <c r="AF49" s="53">
        <f>'Goals, Inventory, Budget'!K49</f>
        <v>0</v>
      </c>
      <c r="AG49" s="144">
        <f>SUM(AG46:AG48)</f>
        <v>0</v>
      </c>
      <c r="AH49" s="145">
        <f>SUM(AH46:AH48)</f>
        <v>0</v>
      </c>
      <c r="AI49" s="233">
        <f>SUM(AI46:AI48)</f>
        <v>0</v>
      </c>
      <c r="AJ49" s="249">
        <f>SUM(AJ47:AJ48)</f>
        <v>0</v>
      </c>
      <c r="AK49" s="605"/>
    </row>
    <row r="50" spans="2:37" ht="27" customHeight="1">
      <c r="B50" s="555"/>
      <c r="C50" s="498" t="s">
        <v>227</v>
      </c>
      <c r="D50" s="572"/>
      <c r="E50" s="572"/>
      <c r="F50" s="572"/>
      <c r="G50" s="572"/>
      <c r="H50" s="573" t="s">
        <v>232</v>
      </c>
      <c r="I50" s="597"/>
      <c r="J50" s="597"/>
      <c r="K50" s="598"/>
      <c r="L50" s="109">
        <f>E60/$J$21</f>
        <v>0</v>
      </c>
      <c r="M50" s="308" t="str">
        <f>'Goals, Inventory, Budget'!C50</f>
        <v>Cereals - whole grain &amp; prepared (Recommended: 8% of Major Category minimum)</v>
      </c>
      <c r="N50" s="309">
        <f>'Goals, Inventory, Budget'!F50</f>
        <v>0</v>
      </c>
      <c r="O50" s="309">
        <f>'Goals, Inventory, Budget'!G50</f>
        <v>0</v>
      </c>
      <c r="P50" s="309" t="str">
        <f>'Goals, Inventory, Budget'!H50</f>
        <v>Actual percentage of major category:</v>
      </c>
      <c r="Q50" s="309">
        <f>'Goals, Inventory, Budget'!I50</f>
        <v>0</v>
      </c>
      <c r="R50" s="309">
        <f>'Goals, Inventory, Budget'!J50</f>
        <v>0</v>
      </c>
      <c r="S50" s="309">
        <f>'Goals, Inventory, Budget'!K50</f>
        <v>0</v>
      </c>
      <c r="T50" s="309"/>
      <c r="U50" s="118"/>
      <c r="V50" s="117"/>
      <c r="W50" s="119"/>
      <c r="X50" s="117"/>
      <c r="Y50" s="120"/>
      <c r="Z50" s="308" t="str">
        <f>'Goals, Inventory, Budget'!C50</f>
        <v>Cereals - whole grain &amp; prepared (Recommended: 8% of Major Category minimum)</v>
      </c>
      <c r="AA50" s="309"/>
      <c r="AB50" s="309"/>
      <c r="AC50" s="309"/>
      <c r="AD50" s="309"/>
      <c r="AE50" s="606"/>
      <c r="AF50" s="600"/>
      <c r="AG50" s="601"/>
      <c r="AH50" s="601"/>
      <c r="AI50" s="601"/>
      <c r="AJ50" s="607"/>
      <c r="AK50" s="603"/>
    </row>
    <row r="51" spans="2:37" ht="12.75">
      <c r="B51" s="555"/>
      <c r="C51" s="9" t="s">
        <v>36</v>
      </c>
      <c r="D51" s="101" t="s">
        <v>37</v>
      </c>
      <c r="E51" s="3"/>
      <c r="F51" s="610" t="s">
        <v>23</v>
      </c>
      <c r="G51" s="63">
        <f aca="true" t="shared" si="14" ref="G51:G59">IF(E51=0,"",FamilyFactor*E51)</f>
      </c>
      <c r="H51" s="266">
        <f aca="true" t="shared" si="15" ref="H51:H59">IF(P51=0,"",P51)</f>
      </c>
      <c r="I51" s="40">
        <f aca="true" t="shared" si="16" ref="I51:I60">IF(G51="","",IF(H51="",G51-0,IF(G51&lt;H51,0,G51-H51)))</f>
      </c>
      <c r="J51" s="19">
        <f aca="true" t="shared" si="17" ref="J51:J59">IF(G51="","",IF(H51="",G51/2-0,IF((G51/2-H51)&lt;=0,0,G51/2-H51)))</f>
      </c>
      <c r="K51" s="20">
        <f aca="true" t="shared" si="18" ref="K51:K59">IF(G51="","",IF(H51="",G51/4-0,IF((G51/4-H51)&lt;=0,0,G51/4-H51)))</f>
      </c>
      <c r="L51" s="21">
        <f aca="true" t="shared" si="19" ref="L51:L59">IF(H51="","",IF(D51="indefinite",0,IF(D51="varies","varies",H51/D51)))</f>
      </c>
      <c r="M51" s="108" t="str">
        <f>'Goals, Inventory, Budget'!C51</f>
        <v>barley, pearled</v>
      </c>
      <c r="N51" s="11" t="str">
        <f>'Goals, Inventory, Budget'!F51</f>
        <v>lbs</v>
      </c>
      <c r="O51" s="60">
        <f>'Goals, Inventory, Budget'!G51</f>
      </c>
      <c r="P51" s="227">
        <f aca="true" t="shared" si="20" ref="P51:P59">Q51*R51+S51*T51+U51*V51+X51*Y51</f>
        <v>0</v>
      </c>
      <c r="Q51" s="137"/>
      <c r="R51" s="138"/>
      <c r="S51" s="30"/>
      <c r="T51" s="31"/>
      <c r="U51" s="139"/>
      <c r="V51" s="140">
        <f aca="true" t="shared" si="21" ref="V51:V59">IF(R51=0,0,R51*5/0.75)</f>
        <v>0</v>
      </c>
      <c r="W51" s="1"/>
      <c r="X51" s="136"/>
      <c r="Y51" s="141"/>
      <c r="Z51" s="611" t="str">
        <f>'Goals, Inventory, Budget'!C51</f>
        <v>barley, pearled</v>
      </c>
      <c r="AA51" s="63">
        <f>'Goals, Inventory, Budget'!G51</f>
      </c>
      <c r="AB51" s="23" t="str">
        <f>'Goals, Inventory, Budget'!F51</f>
        <v>lbs</v>
      </c>
      <c r="AC51" s="82"/>
      <c r="AD51" s="40">
        <f>'Goals, Inventory, Budget'!I51</f>
      </c>
      <c r="AE51" s="19">
        <f>'Goals, Inventory, Budget'!J51</f>
      </c>
      <c r="AF51" s="20">
        <f>'Goals, Inventory, Budget'!K51</f>
      </c>
      <c r="AG51" s="146">
        <f aca="true" t="shared" si="22" ref="AG51:AG59">IF(AA51="","",IF(AC51=0,"price?",AD51*AC51))</f>
      </c>
      <c r="AH51" s="147">
        <f aca="true" t="shared" si="23" ref="AH51:AH59">IF(AA51="","",IF(AC51=0,"price?",AE51*AC51))</f>
      </c>
      <c r="AI51" s="147">
        <f aca="true" t="shared" si="24" ref="AI51:AI59">IF(AA51="","",IF(AC51=0,"price?",AF51*AC51))</f>
      </c>
      <c r="AJ51" s="236">
        <f aca="true" t="shared" si="25" ref="AJ51:AJ59">IF(AA51="","",IF(AC51=0,"price?",IF(AD51=0,0,AA51*AC51/12)))</f>
      </c>
      <c r="AK51" s="297"/>
    </row>
    <row r="52" spans="2:37" ht="12.75">
      <c r="B52" s="555"/>
      <c r="C52" s="9" t="s">
        <v>116</v>
      </c>
      <c r="D52" s="101" t="s">
        <v>37</v>
      </c>
      <c r="E52" s="3"/>
      <c r="F52" s="610" t="s">
        <v>23</v>
      </c>
      <c r="G52" s="63">
        <f t="shared" si="14"/>
      </c>
      <c r="H52" s="266">
        <f t="shared" si="15"/>
      </c>
      <c r="I52" s="40">
        <f t="shared" si="16"/>
      </c>
      <c r="J52" s="19">
        <f t="shared" si="17"/>
      </c>
      <c r="K52" s="20">
        <f t="shared" si="18"/>
      </c>
      <c r="L52" s="21">
        <f t="shared" si="19"/>
      </c>
      <c r="M52" s="108" t="str">
        <f>'Goals, Inventory, Budget'!C52</f>
        <v>buckwheat (kasha)</v>
      </c>
      <c r="N52" s="11" t="str">
        <f>'Goals, Inventory, Budget'!F52</f>
        <v>lbs</v>
      </c>
      <c r="O52" s="60">
        <f>'Goals, Inventory, Budget'!G52</f>
      </c>
      <c r="P52" s="227">
        <f t="shared" si="20"/>
        <v>0</v>
      </c>
      <c r="Q52" s="137"/>
      <c r="R52" s="138"/>
      <c r="S52" s="30"/>
      <c r="T52" s="31"/>
      <c r="U52" s="139"/>
      <c r="V52" s="140">
        <f t="shared" si="21"/>
        <v>0</v>
      </c>
      <c r="W52" s="1"/>
      <c r="X52" s="136"/>
      <c r="Y52" s="141"/>
      <c r="Z52" s="611" t="str">
        <f>'Goals, Inventory, Budget'!C52</f>
        <v>buckwheat (kasha)</v>
      </c>
      <c r="AA52" s="63">
        <f>'Goals, Inventory, Budget'!G52</f>
      </c>
      <c r="AB52" s="23" t="str">
        <f>'Goals, Inventory, Budget'!F52</f>
        <v>lbs</v>
      </c>
      <c r="AC52" s="82"/>
      <c r="AD52" s="40">
        <f>'Goals, Inventory, Budget'!I52</f>
      </c>
      <c r="AE52" s="19">
        <f>'Goals, Inventory, Budget'!J52</f>
      </c>
      <c r="AF52" s="20">
        <f>'Goals, Inventory, Budget'!K52</f>
      </c>
      <c r="AG52" s="146">
        <f t="shared" si="22"/>
      </c>
      <c r="AH52" s="147">
        <f t="shared" si="23"/>
      </c>
      <c r="AI52" s="147">
        <f t="shared" si="24"/>
      </c>
      <c r="AJ52" s="236">
        <f t="shared" si="25"/>
      </c>
      <c r="AK52" s="297"/>
    </row>
    <row r="53" spans="2:37" ht="12.75">
      <c r="B53" s="555"/>
      <c r="C53" s="9" t="s">
        <v>117</v>
      </c>
      <c r="D53" s="101" t="s">
        <v>37</v>
      </c>
      <c r="E53" s="3"/>
      <c r="F53" s="610" t="s">
        <v>23</v>
      </c>
      <c r="G53" s="63">
        <f t="shared" si="14"/>
      </c>
      <c r="H53" s="266">
        <f t="shared" si="15"/>
      </c>
      <c r="I53" s="40">
        <f t="shared" si="16"/>
      </c>
      <c r="J53" s="19">
        <f t="shared" si="17"/>
      </c>
      <c r="K53" s="20">
        <f t="shared" si="18"/>
      </c>
      <c r="L53" s="21">
        <f t="shared" si="19"/>
      </c>
      <c r="M53" s="108" t="str">
        <f>'Goals, Inventory, Budget'!C53</f>
        <v>Hominy &amp; grits</v>
      </c>
      <c r="N53" s="11" t="str">
        <f>'Goals, Inventory, Budget'!F53</f>
        <v>lbs</v>
      </c>
      <c r="O53" s="60">
        <f>'Goals, Inventory, Budget'!G53</f>
      </c>
      <c r="P53" s="227">
        <f t="shared" si="20"/>
        <v>0</v>
      </c>
      <c r="Q53" s="137"/>
      <c r="R53" s="138"/>
      <c r="S53" s="30"/>
      <c r="T53" s="31"/>
      <c r="U53" s="139"/>
      <c r="V53" s="140">
        <f t="shared" si="21"/>
        <v>0</v>
      </c>
      <c r="W53" s="1"/>
      <c r="X53" s="136"/>
      <c r="Y53" s="141"/>
      <c r="Z53" s="611" t="str">
        <f>'Goals, Inventory, Budget'!C53</f>
        <v>Hominy &amp; grits</v>
      </c>
      <c r="AA53" s="63">
        <f>'Goals, Inventory, Budget'!G53</f>
      </c>
      <c r="AB53" s="23" t="str">
        <f>'Goals, Inventory, Budget'!F53</f>
        <v>lbs</v>
      </c>
      <c r="AC53" s="82"/>
      <c r="AD53" s="40">
        <f>'Goals, Inventory, Budget'!I53</f>
      </c>
      <c r="AE53" s="19">
        <f>'Goals, Inventory, Budget'!J53</f>
      </c>
      <c r="AF53" s="20">
        <f>'Goals, Inventory, Budget'!K53</f>
      </c>
      <c r="AG53" s="146">
        <f t="shared" si="22"/>
      </c>
      <c r="AH53" s="147">
        <f t="shared" si="23"/>
      </c>
      <c r="AI53" s="147">
        <f t="shared" si="24"/>
      </c>
      <c r="AJ53" s="236">
        <f t="shared" si="25"/>
      </c>
      <c r="AK53" s="297"/>
    </row>
    <row r="54" spans="2:37" ht="12.75">
      <c r="B54" s="555"/>
      <c r="C54" s="9" t="s">
        <v>38</v>
      </c>
      <c r="D54" s="101" t="s">
        <v>19</v>
      </c>
      <c r="E54" s="3"/>
      <c r="F54" s="610" t="s">
        <v>23</v>
      </c>
      <c r="G54" s="63">
        <f t="shared" si="14"/>
      </c>
      <c r="H54" s="266">
        <f t="shared" si="15"/>
      </c>
      <c r="I54" s="40">
        <f t="shared" si="16"/>
      </c>
      <c r="J54" s="19">
        <f t="shared" si="17"/>
      </c>
      <c r="K54" s="20">
        <f t="shared" si="18"/>
      </c>
      <c r="L54" s="21">
        <f t="shared" si="19"/>
      </c>
      <c r="M54" s="108" t="str">
        <f>'Goals, Inventory, Budget'!C54</f>
        <v>granola</v>
      </c>
      <c r="N54" s="11" t="str">
        <f>'Goals, Inventory, Budget'!F54</f>
        <v>lbs</v>
      </c>
      <c r="O54" s="60">
        <f>'Goals, Inventory, Budget'!G54</f>
      </c>
      <c r="P54" s="227">
        <f t="shared" si="20"/>
        <v>0</v>
      </c>
      <c r="Q54" s="137"/>
      <c r="R54" s="138"/>
      <c r="S54" s="30"/>
      <c r="T54" s="31"/>
      <c r="U54" s="139"/>
      <c r="V54" s="140">
        <f t="shared" si="21"/>
        <v>0</v>
      </c>
      <c r="W54" s="1"/>
      <c r="X54" s="136"/>
      <c r="Y54" s="141"/>
      <c r="Z54" s="611" t="str">
        <f>'Goals, Inventory, Budget'!C54</f>
        <v>granola</v>
      </c>
      <c r="AA54" s="63">
        <f>'Goals, Inventory, Budget'!G54</f>
      </c>
      <c r="AB54" s="23" t="str">
        <f>'Goals, Inventory, Budget'!F54</f>
        <v>lbs</v>
      </c>
      <c r="AC54" s="82"/>
      <c r="AD54" s="40">
        <f>'Goals, Inventory, Budget'!I54</f>
      </c>
      <c r="AE54" s="19">
        <f>'Goals, Inventory, Budget'!J54</f>
      </c>
      <c r="AF54" s="20">
        <f>'Goals, Inventory, Budget'!K54</f>
      </c>
      <c r="AG54" s="146">
        <f t="shared" si="22"/>
      </c>
      <c r="AH54" s="147">
        <f t="shared" si="23"/>
      </c>
      <c r="AI54" s="147">
        <f t="shared" si="24"/>
      </c>
      <c r="AJ54" s="236">
        <f t="shared" si="25"/>
      </c>
      <c r="AK54" s="297"/>
    </row>
    <row r="55" spans="2:37" ht="12.75">
      <c r="B55" s="555"/>
      <c r="C55" s="9" t="s">
        <v>119</v>
      </c>
      <c r="D55" s="101" t="s">
        <v>37</v>
      </c>
      <c r="E55" s="3"/>
      <c r="F55" s="610" t="s">
        <v>23</v>
      </c>
      <c r="G55" s="63">
        <f t="shared" si="14"/>
      </c>
      <c r="H55" s="266">
        <f t="shared" si="15"/>
      </c>
      <c r="I55" s="40">
        <f t="shared" si="16"/>
      </c>
      <c r="J55" s="19">
        <f t="shared" si="17"/>
      </c>
      <c r="K55" s="20">
        <f t="shared" si="18"/>
      </c>
      <c r="L55" s="21">
        <f t="shared" si="19"/>
      </c>
      <c r="M55" s="108" t="str">
        <f>'Goals, Inventory, Budget'!C55</f>
        <v>rice (dry cereal)</v>
      </c>
      <c r="N55" s="11" t="str">
        <f>'Goals, Inventory, Budget'!F55</f>
        <v>lbs</v>
      </c>
      <c r="O55" s="60">
        <f>'Goals, Inventory, Budget'!G55</f>
      </c>
      <c r="P55" s="227">
        <f t="shared" si="20"/>
        <v>0</v>
      </c>
      <c r="Q55" s="137"/>
      <c r="R55" s="138"/>
      <c r="S55" s="30"/>
      <c r="T55" s="31"/>
      <c r="U55" s="139"/>
      <c r="V55" s="140">
        <f t="shared" si="21"/>
        <v>0</v>
      </c>
      <c r="W55" s="1"/>
      <c r="X55" s="136"/>
      <c r="Y55" s="141"/>
      <c r="Z55" s="611" t="str">
        <f>'Goals, Inventory, Budget'!C55</f>
        <v>rice (dry cereal)</v>
      </c>
      <c r="AA55" s="63">
        <f>'Goals, Inventory, Budget'!G55</f>
      </c>
      <c r="AB55" s="23" t="str">
        <f>'Goals, Inventory, Budget'!F55</f>
        <v>lbs</v>
      </c>
      <c r="AC55" s="82"/>
      <c r="AD55" s="40">
        <f>'Goals, Inventory, Budget'!I55</f>
      </c>
      <c r="AE55" s="19">
        <f>'Goals, Inventory, Budget'!J55</f>
      </c>
      <c r="AF55" s="20">
        <f>'Goals, Inventory, Budget'!K55</f>
      </c>
      <c r="AG55" s="146">
        <f t="shared" si="22"/>
      </c>
      <c r="AH55" s="147">
        <f t="shared" si="23"/>
      </c>
      <c r="AI55" s="147">
        <f t="shared" si="24"/>
      </c>
      <c r="AJ55" s="236">
        <f t="shared" si="25"/>
      </c>
      <c r="AK55" s="297"/>
    </row>
    <row r="56" spans="2:37" ht="12.75">
      <c r="B56" s="555"/>
      <c r="C56" s="9" t="s">
        <v>118</v>
      </c>
      <c r="D56" s="101" t="s">
        <v>37</v>
      </c>
      <c r="E56" s="3"/>
      <c r="F56" s="610" t="s">
        <v>23</v>
      </c>
      <c r="G56" s="63">
        <f t="shared" si="14"/>
      </c>
      <c r="H56" s="266">
        <f t="shared" si="15"/>
      </c>
      <c r="I56" s="40">
        <f t="shared" si="16"/>
      </c>
      <c r="J56" s="19">
        <f t="shared" si="17"/>
      </c>
      <c r="K56" s="20">
        <f t="shared" si="18"/>
      </c>
      <c r="L56" s="21">
        <f t="shared" si="19"/>
      </c>
      <c r="M56" s="108" t="str">
        <f>'Goals, Inventory, Budget'!C56</f>
        <v>corn (dry cereal)</v>
      </c>
      <c r="N56" s="11" t="str">
        <f>'Goals, Inventory, Budget'!F56</f>
        <v>lbs</v>
      </c>
      <c r="O56" s="60">
        <f>'Goals, Inventory, Budget'!G56</f>
      </c>
      <c r="P56" s="227">
        <f t="shared" si="20"/>
        <v>0</v>
      </c>
      <c r="Q56" s="137"/>
      <c r="R56" s="138"/>
      <c r="S56" s="30"/>
      <c r="T56" s="31"/>
      <c r="U56" s="139"/>
      <c r="V56" s="140">
        <f t="shared" si="21"/>
        <v>0</v>
      </c>
      <c r="W56" s="1"/>
      <c r="X56" s="136"/>
      <c r="Y56" s="141"/>
      <c r="Z56" s="611" t="str">
        <f>'Goals, Inventory, Budget'!C56</f>
        <v>corn (dry cereal)</v>
      </c>
      <c r="AA56" s="63">
        <f>'Goals, Inventory, Budget'!G56</f>
      </c>
      <c r="AB56" s="23" t="str">
        <f>'Goals, Inventory, Budget'!F56</f>
        <v>lbs</v>
      </c>
      <c r="AC56" s="82"/>
      <c r="AD56" s="40">
        <f>'Goals, Inventory, Budget'!I56</f>
      </c>
      <c r="AE56" s="19">
        <f>'Goals, Inventory, Budget'!J56</f>
      </c>
      <c r="AF56" s="20">
        <f>'Goals, Inventory, Budget'!K56</f>
      </c>
      <c r="AG56" s="146">
        <f t="shared" si="22"/>
      </c>
      <c r="AH56" s="147">
        <f t="shared" si="23"/>
      </c>
      <c r="AI56" s="147">
        <f t="shared" si="24"/>
      </c>
      <c r="AJ56" s="236">
        <f t="shared" si="25"/>
      </c>
      <c r="AK56" s="297"/>
    </row>
    <row r="57" spans="2:37" ht="25.5">
      <c r="B57" s="555"/>
      <c r="C57" s="9" t="s">
        <v>120</v>
      </c>
      <c r="D57" s="101" t="s">
        <v>37</v>
      </c>
      <c r="E57" s="3"/>
      <c r="F57" s="610" t="s">
        <v>23</v>
      </c>
      <c r="G57" s="63">
        <f>IF(E57=0,"",FamilyFactor*E57)</f>
      </c>
      <c r="H57" s="266">
        <f t="shared" si="15"/>
      </c>
      <c r="I57" s="40">
        <f t="shared" si="16"/>
      </c>
      <c r="J57" s="19">
        <f t="shared" si="17"/>
      </c>
      <c r="K57" s="20">
        <f t="shared" si="18"/>
      </c>
      <c r="L57" s="21">
        <f t="shared" si="19"/>
      </c>
      <c r="M57" s="108" t="str">
        <f>'Goals, Inventory, Budget'!C57</f>
        <v>corn/hominy/posole (ready to heat)</v>
      </c>
      <c r="N57" s="11" t="str">
        <f>'Goals, Inventory, Budget'!F57</f>
        <v>lbs</v>
      </c>
      <c r="O57" s="60">
        <f>'Goals, Inventory, Budget'!G57</f>
      </c>
      <c r="P57" s="227">
        <f t="shared" si="20"/>
        <v>0</v>
      </c>
      <c r="Q57" s="137"/>
      <c r="R57" s="138"/>
      <c r="S57" s="30"/>
      <c r="T57" s="31"/>
      <c r="U57" s="139"/>
      <c r="V57" s="140">
        <f t="shared" si="21"/>
        <v>0</v>
      </c>
      <c r="W57" s="1"/>
      <c r="X57" s="136"/>
      <c r="Y57" s="141"/>
      <c r="Z57" s="611" t="str">
        <f>'Goals, Inventory, Budget'!C57</f>
        <v>corn/hominy/posole (ready to heat)</v>
      </c>
      <c r="AA57" s="63">
        <f>'Goals, Inventory, Budget'!G57</f>
      </c>
      <c r="AB57" s="23" t="str">
        <f>'Goals, Inventory, Budget'!F57</f>
        <v>lbs</v>
      </c>
      <c r="AC57" s="82"/>
      <c r="AD57" s="40">
        <f>'Goals, Inventory, Budget'!I57</f>
      </c>
      <c r="AE57" s="19">
        <f>'Goals, Inventory, Budget'!J57</f>
      </c>
      <c r="AF57" s="20">
        <f>'Goals, Inventory, Budget'!K57</f>
      </c>
      <c r="AG57" s="146">
        <f t="shared" si="22"/>
      </c>
      <c r="AH57" s="147">
        <f t="shared" si="23"/>
      </c>
      <c r="AI57" s="147">
        <f t="shared" si="24"/>
      </c>
      <c r="AJ57" s="236">
        <f t="shared" si="25"/>
      </c>
      <c r="AK57" s="297"/>
    </row>
    <row r="58" spans="2:37" ht="25.5">
      <c r="B58" s="555"/>
      <c r="C58" s="104" t="s">
        <v>121</v>
      </c>
      <c r="D58" s="102" t="s">
        <v>37</v>
      </c>
      <c r="E58" s="4"/>
      <c r="F58" s="612" t="s">
        <v>23</v>
      </c>
      <c r="G58" s="64">
        <f t="shared" si="14"/>
      </c>
      <c r="H58" s="267">
        <f t="shared" si="15"/>
      </c>
      <c r="I58" s="40">
        <f t="shared" si="16"/>
      </c>
      <c r="J58" s="19">
        <f t="shared" si="17"/>
      </c>
      <c r="K58" s="20">
        <f t="shared" si="18"/>
      </c>
      <c r="L58" s="21">
        <f t="shared" si="19"/>
      </c>
      <c r="M58" s="108" t="str">
        <f>'Goals, Inventory, Budget'!C58</f>
        <v>wheat/rice, creamed (ready to heat)</v>
      </c>
      <c r="N58" s="11" t="str">
        <f>'Goals, Inventory, Budget'!F58</f>
        <v>lbs</v>
      </c>
      <c r="O58" s="60">
        <f>'Goals, Inventory, Budget'!G58</f>
      </c>
      <c r="P58" s="227">
        <f t="shared" si="20"/>
        <v>0</v>
      </c>
      <c r="Q58" s="137"/>
      <c r="R58" s="138"/>
      <c r="S58" s="30"/>
      <c r="T58" s="31"/>
      <c r="U58" s="139"/>
      <c r="V58" s="140">
        <f t="shared" si="21"/>
        <v>0</v>
      </c>
      <c r="W58" s="1"/>
      <c r="X58" s="136"/>
      <c r="Y58" s="141"/>
      <c r="Z58" s="506" t="str">
        <f>'Goals, Inventory, Budget'!C58</f>
        <v>wheat/rice, creamed (ready to heat)</v>
      </c>
      <c r="AA58" s="64">
        <f>'Goals, Inventory, Budget'!G58</f>
      </c>
      <c r="AB58" s="362" t="str">
        <f>'Goals, Inventory, Budget'!F58</f>
        <v>lbs</v>
      </c>
      <c r="AC58" s="94"/>
      <c r="AD58" s="40">
        <f>'Goals, Inventory, Budget'!I58</f>
      </c>
      <c r="AE58" s="19">
        <f>'Goals, Inventory, Budget'!J58</f>
      </c>
      <c r="AF58" s="20">
        <f>'Goals, Inventory, Budget'!K58</f>
      </c>
      <c r="AG58" s="146">
        <f t="shared" si="22"/>
      </c>
      <c r="AH58" s="147">
        <f t="shared" si="23"/>
      </c>
      <c r="AI58" s="147">
        <f t="shared" si="24"/>
      </c>
      <c r="AJ58" s="236">
        <f t="shared" si="25"/>
      </c>
      <c r="AK58" s="297"/>
    </row>
    <row r="59" spans="2:37" ht="13.5" thickBot="1">
      <c r="B59" s="555"/>
      <c r="C59" s="169" t="s">
        <v>39</v>
      </c>
      <c r="D59" s="103" t="s">
        <v>37</v>
      </c>
      <c r="E59" s="5"/>
      <c r="F59" s="613" t="s">
        <v>23</v>
      </c>
      <c r="G59" s="65">
        <f t="shared" si="14"/>
      </c>
      <c r="H59" s="268">
        <f t="shared" si="15"/>
      </c>
      <c r="I59" s="73">
        <f t="shared" si="16"/>
      </c>
      <c r="J59" s="56">
        <f t="shared" si="17"/>
      </c>
      <c r="K59" s="57">
        <f t="shared" si="18"/>
      </c>
      <c r="L59" s="24">
        <f t="shared" si="19"/>
      </c>
      <c r="M59" s="108" t="str">
        <f>'Goals, Inventory, Budget'!C59</f>
        <v>shredded wheat</v>
      </c>
      <c r="N59" s="11" t="str">
        <f>'Goals, Inventory, Budget'!F59</f>
        <v>lbs</v>
      </c>
      <c r="O59" s="60">
        <f>'Goals, Inventory, Budget'!G59</f>
      </c>
      <c r="P59" s="227">
        <f t="shared" si="20"/>
        <v>0</v>
      </c>
      <c r="Q59" s="137"/>
      <c r="R59" s="138"/>
      <c r="S59" s="30"/>
      <c r="T59" s="31"/>
      <c r="U59" s="139"/>
      <c r="V59" s="140">
        <f t="shared" si="21"/>
        <v>0</v>
      </c>
      <c r="W59" s="1"/>
      <c r="X59" s="136"/>
      <c r="Y59" s="141"/>
      <c r="Z59" s="614" t="str">
        <f>'Goals, Inventory, Budget'!C59</f>
        <v>shredded wheat</v>
      </c>
      <c r="AA59" s="65">
        <f>'Goals, Inventory, Budget'!G59</f>
      </c>
      <c r="AB59" s="615" t="str">
        <f>'Goals, Inventory, Budget'!F59</f>
        <v>lbs</v>
      </c>
      <c r="AC59" s="95"/>
      <c r="AD59" s="73">
        <f>'Goals, Inventory, Budget'!I59</f>
      </c>
      <c r="AE59" s="56">
        <f>'Goals, Inventory, Budget'!J59</f>
      </c>
      <c r="AF59" s="57">
        <f>'Goals, Inventory, Budget'!K59</f>
      </c>
      <c r="AG59" s="148">
        <f t="shared" si="22"/>
      </c>
      <c r="AH59" s="149">
        <f t="shared" si="23"/>
      </c>
      <c r="AI59" s="149">
        <f t="shared" si="24"/>
      </c>
      <c r="AJ59" s="246">
        <f t="shared" si="25"/>
      </c>
      <c r="AK59" s="297"/>
    </row>
    <row r="60" spans="2:37" ht="13.5" thickTop="1">
      <c r="B60" s="555"/>
      <c r="C60" s="517" t="s">
        <v>122</v>
      </c>
      <c r="D60" s="518"/>
      <c r="E60" s="616">
        <f>SUM(E51:E59)</f>
        <v>0</v>
      </c>
      <c r="F60" s="616" t="s">
        <v>23</v>
      </c>
      <c r="G60" s="59">
        <f>FamilyFactor*E60</f>
        <v>0</v>
      </c>
      <c r="H60" s="224">
        <f>P60</f>
        <v>0</v>
      </c>
      <c r="I60" s="41">
        <f t="shared" si="16"/>
        <v>0</v>
      </c>
      <c r="J60" s="52">
        <f>IF((G60/2-H60)&lt;=0,0,G60/2-H60)</f>
        <v>0</v>
      </c>
      <c r="K60" s="53">
        <f>IF((G60/4-H60)&lt;=0,0,G60/4-H60)</f>
        <v>0</v>
      </c>
      <c r="L60" s="210"/>
      <c r="M60" s="173" t="str">
        <f>'Goals, Inventory, Budget'!C60</f>
        <v>Total Cereals</v>
      </c>
      <c r="N60" s="127" t="str">
        <f>'Goals, Inventory, Budget'!F60</f>
        <v>lbs</v>
      </c>
      <c r="O60" s="59">
        <f>'Goals, Inventory, Budget'!G60</f>
        <v>0</v>
      </c>
      <c r="P60" s="224">
        <f>SUM(P51:P59)</f>
        <v>0</v>
      </c>
      <c r="Q60" s="591"/>
      <c r="R60" s="592"/>
      <c r="S60" s="593"/>
      <c r="T60" s="592"/>
      <c r="U60" s="593"/>
      <c r="V60" s="592"/>
      <c r="W60" s="594"/>
      <c r="X60" s="592"/>
      <c r="Y60" s="595"/>
      <c r="Z60" s="519" t="str">
        <f>'Goals, Inventory, Budget'!C60</f>
        <v>Total Cereals</v>
      </c>
      <c r="AA60" s="59">
        <f>'Goals, Inventory, Budget'!G60</f>
        <v>0</v>
      </c>
      <c r="AB60" s="127" t="str">
        <f>'Goals, Inventory, Budget'!F60</f>
        <v>lbs</v>
      </c>
      <c r="AC60" s="85"/>
      <c r="AD60" s="41">
        <f>'Goals, Inventory, Budget'!I60</f>
        <v>0</v>
      </c>
      <c r="AE60" s="52">
        <f>'Goals, Inventory, Budget'!J60</f>
        <v>0</v>
      </c>
      <c r="AF60" s="53">
        <f>'Goals, Inventory, Budget'!K60</f>
        <v>0</v>
      </c>
      <c r="AG60" s="144">
        <f>SUM(AG51:AG59)</f>
        <v>0</v>
      </c>
      <c r="AH60" s="145">
        <f>SUM(AH51:AH59)</f>
        <v>0</v>
      </c>
      <c r="AI60" s="233">
        <f>SUM(AI51:AI59)</f>
        <v>0</v>
      </c>
      <c r="AJ60" s="248">
        <f>SUM(AJ51:AJ59)</f>
        <v>0</v>
      </c>
      <c r="AK60" s="605"/>
    </row>
    <row r="61" spans="2:37" ht="13.5" thickBot="1">
      <c r="B61" s="555"/>
      <c r="C61" s="498" t="s">
        <v>59</v>
      </c>
      <c r="D61" s="572"/>
      <c r="E61" s="572"/>
      <c r="F61" s="572"/>
      <c r="G61" s="572"/>
      <c r="H61" s="572"/>
      <c r="I61" s="572"/>
      <c r="J61" s="572"/>
      <c r="K61" s="617"/>
      <c r="M61" s="308" t="str">
        <f>'Goals, Inventory, Budget'!C61</f>
        <v>Equipment and Supplies</v>
      </c>
      <c r="N61" s="309">
        <f>'Goals, Inventory, Budget'!F61</f>
        <v>0</v>
      </c>
      <c r="O61" s="309">
        <f>'Goals, Inventory, Budget'!G61</f>
        <v>0</v>
      </c>
      <c r="P61" s="309">
        <f>'Goals, Inventory, Budget'!H61</f>
        <v>0</v>
      </c>
      <c r="Q61" s="309">
        <f>'Goals, Inventory, Budget'!I61</f>
        <v>0</v>
      </c>
      <c r="R61" s="309">
        <f>'Goals, Inventory, Budget'!J61</f>
        <v>0</v>
      </c>
      <c r="S61" s="309">
        <f>'Goals, Inventory, Budget'!K61</f>
        <v>0</v>
      </c>
      <c r="T61" s="618"/>
      <c r="U61" s="619"/>
      <c r="V61" s="618"/>
      <c r="W61" s="620"/>
      <c r="X61" s="618"/>
      <c r="Y61" s="621"/>
      <c r="Z61" s="308" t="str">
        <f>'Goals, Inventory, Budget'!C61</f>
        <v>Equipment and Supplies</v>
      </c>
      <c r="AA61" s="309"/>
      <c r="AB61" s="309"/>
      <c r="AC61" s="309"/>
      <c r="AD61" s="606"/>
      <c r="AE61" s="606"/>
      <c r="AF61" s="600"/>
      <c r="AG61" s="601"/>
      <c r="AH61" s="601"/>
      <c r="AI61" s="601"/>
      <c r="AJ61" s="607"/>
      <c r="AK61" s="603"/>
    </row>
    <row r="62" spans="2:37" ht="13.5" thickTop="1">
      <c r="B62" s="555"/>
      <c r="C62" s="104" t="s">
        <v>46</v>
      </c>
      <c r="D62" s="98" t="s">
        <v>18</v>
      </c>
      <c r="E62" s="1">
        <v>1</v>
      </c>
      <c r="F62" s="504" t="s">
        <v>77</v>
      </c>
      <c r="G62" s="61">
        <v>1</v>
      </c>
      <c r="H62" s="38">
        <f>IF(P62=0,"",P62)</f>
      </c>
      <c r="I62" s="12"/>
      <c r="J62" s="13"/>
      <c r="K62" s="14"/>
      <c r="M62" s="172" t="str">
        <f>'Goals, Inventory, Budget'!C62</f>
        <v>grain mill/grinder</v>
      </c>
      <c r="N62" s="11" t="str">
        <f>'Goals, Inventory, Budget'!F62</f>
        <v>1/family</v>
      </c>
      <c r="O62" s="61">
        <f>'Goals, Inventory, Budget'!G62</f>
        <v>1</v>
      </c>
      <c r="P62" s="505"/>
      <c r="Q62" s="12"/>
      <c r="R62" s="622"/>
      <c r="S62" s="257"/>
      <c r="Z62" s="506" t="str">
        <f>'Goals, Inventory, Budget'!C62</f>
        <v>grain mill/grinder</v>
      </c>
      <c r="AA62" s="61">
        <f>'Goals, Inventory, Budget'!G62</f>
        <v>1</v>
      </c>
      <c r="AB62" s="11" t="str">
        <f>'Goals, Inventory, Budget'!F62</f>
        <v>1/family</v>
      </c>
      <c r="AC62" s="74"/>
      <c r="AD62" s="12"/>
      <c r="AE62" s="13"/>
      <c r="AF62" s="14"/>
      <c r="AG62" s="151">
        <f>AC62*AA62</f>
        <v>0</v>
      </c>
      <c r="AH62" s="77"/>
      <c r="AI62" s="77"/>
      <c r="AJ62" s="79"/>
      <c r="AK62" s="297"/>
    </row>
    <row r="63" spans="2:37" ht="13.5" thickBot="1">
      <c r="B63" s="555"/>
      <c r="C63" s="168" t="s">
        <v>47</v>
      </c>
      <c r="D63" s="100" t="s">
        <v>18</v>
      </c>
      <c r="E63" s="2">
        <v>1</v>
      </c>
      <c r="F63" s="588" t="s">
        <v>77</v>
      </c>
      <c r="G63" s="62">
        <v>1</v>
      </c>
      <c r="H63" s="265">
        <f>IF(P63=0,"",P63)</f>
      </c>
      <c r="I63" s="15"/>
      <c r="J63" s="16"/>
      <c r="K63" s="17"/>
      <c r="M63" s="176" t="str">
        <f>'Goals, Inventory, Budget'!C63</f>
        <v>Mixer</v>
      </c>
      <c r="N63" s="22" t="str">
        <f>'Goals, Inventory, Budget'!F63</f>
        <v>1/family</v>
      </c>
      <c r="O63" s="62">
        <f>'Goals, Inventory, Budget'!G63</f>
        <v>1</v>
      </c>
      <c r="P63" s="512"/>
      <c r="Q63" s="15"/>
      <c r="R63" s="540"/>
      <c r="S63" s="258"/>
      <c r="Z63" s="623" t="str">
        <f>'Goals, Inventory, Budget'!C63</f>
        <v>Mixer</v>
      </c>
      <c r="AA63" s="624">
        <f>'Goals, Inventory, Budget'!G63</f>
        <v>1</v>
      </c>
      <c r="AB63" s="461" t="str">
        <f>'Goals, Inventory, Budget'!F63</f>
        <v>1/family</v>
      </c>
      <c r="AC63" s="239"/>
      <c r="AD63" s="240"/>
      <c r="AE63" s="241"/>
      <c r="AF63" s="242"/>
      <c r="AG63" s="158">
        <f>AC63*AA63</f>
        <v>0</v>
      </c>
      <c r="AH63" s="243"/>
      <c r="AI63" s="243"/>
      <c r="AJ63" s="244"/>
      <c r="AK63" s="298"/>
    </row>
    <row r="64" spans="2:36" ht="64.5" thickBot="1">
      <c r="B64" s="555"/>
      <c r="C64" s="626" t="s">
        <v>22</v>
      </c>
      <c r="D64" s="627"/>
      <c r="E64" s="125" t="s">
        <v>276</v>
      </c>
      <c r="F64" s="125" t="s">
        <v>15</v>
      </c>
      <c r="G64" s="124" t="s">
        <v>190</v>
      </c>
      <c r="H64" s="124" t="s">
        <v>189</v>
      </c>
      <c r="I64" s="124" t="s">
        <v>55</v>
      </c>
      <c r="J64" s="124" t="s">
        <v>56</v>
      </c>
      <c r="K64" s="123" t="s">
        <v>57</v>
      </c>
      <c r="M64" s="133" t="str">
        <f>'Goals, Inventory, Budget'!C64</f>
        <v>Wheat, Other Whole Grains, Flours and Beans</v>
      </c>
      <c r="N64" s="125" t="str">
        <f>'Goals, Inventory, Budget'!F64</f>
        <v>Units</v>
      </c>
      <c r="O64" s="124" t="str">
        <f>'Goals, Inventory, Budget'!G64</f>
        <v>Family Total Goal</v>
      </c>
      <c r="P64" s="124" t="str">
        <f>'Goals, Inventory, Budget'!H64</f>
        <v>In Inventory</v>
      </c>
      <c r="Q64" s="124" t="str">
        <f>'Goals, Inventory, Budget'!I64</f>
        <v>Still Need for 12 months</v>
      </c>
      <c r="R64" s="134" t="str">
        <f>'Goals, Inventory, Budget'!J64</f>
        <v>Still Need for 6 months</v>
      </c>
      <c r="S64" s="135" t="str">
        <f>'Goals, Inventory, Budget'!K64</f>
        <v>Still Need for 3 months</v>
      </c>
      <c r="Z64" s="628" t="str">
        <f>'Goals, Inventory, Budget'!C64</f>
        <v>Wheat, Other Whole Grains, Flours and Beans</v>
      </c>
      <c r="AA64" s="237" t="str">
        <f>'Goals, Inventory, Budget'!G64</f>
        <v>Family Total Goal</v>
      </c>
      <c r="AB64" s="629" t="str">
        <f>'Goals, Inventory, Budget'!F64</f>
        <v>Units</v>
      </c>
      <c r="AC64" s="238" t="s">
        <v>209</v>
      </c>
      <c r="AD64" s="237" t="str">
        <f>'Goals, Inventory, Budget'!I64</f>
        <v>Still Need for 12 months</v>
      </c>
      <c r="AE64" s="630" t="str">
        <f>'Goals, Inventory, Budget'!J64</f>
        <v>Still Need for 6 months</v>
      </c>
      <c r="AF64" s="631" t="str">
        <f>'Goals, Inventory, Budget'!K64</f>
        <v>Still Need for 3 months</v>
      </c>
      <c r="AG64" s="632" t="s">
        <v>210</v>
      </c>
      <c r="AH64" s="632" t="s">
        <v>211</v>
      </c>
      <c r="AI64" s="633" t="s">
        <v>212</v>
      </c>
      <c r="AJ64" s="634" t="s">
        <v>281</v>
      </c>
    </row>
    <row r="65" spans="2:36" ht="14.25" thickBot="1" thickTop="1">
      <c r="B65" s="555"/>
      <c r="C65" s="635" t="s">
        <v>48</v>
      </c>
      <c r="D65" s="636"/>
      <c r="E65" s="637">
        <f>SUM(E60,E49,E45,E40,E31,E24)</f>
        <v>462</v>
      </c>
      <c r="F65" s="637" t="s">
        <v>23</v>
      </c>
      <c r="G65" s="67">
        <f>FamilyFactor*E65</f>
        <v>462</v>
      </c>
      <c r="H65" s="229">
        <f>P65</f>
        <v>0</v>
      </c>
      <c r="I65" s="43">
        <f>IF(G65="","",IF(H65="",G65-0,IF(G65&lt;H65,0,G65-H65)))</f>
        <v>462</v>
      </c>
      <c r="J65" s="54">
        <f>IF((G65/2-H65)&lt;=0,0,G65/2-H65)</f>
        <v>231</v>
      </c>
      <c r="K65" s="55">
        <f>IF((G65/4-H65)&lt;=0,0,G65/4-H65)</f>
        <v>115.5</v>
      </c>
      <c r="M65" s="128" t="str">
        <f>'Goals, Inventory, Budget'!C65</f>
        <v>Grand Total</v>
      </c>
      <c r="N65" s="129" t="str">
        <f>'Goals, Inventory, Budget'!F65</f>
        <v>lbs</v>
      </c>
      <c r="O65" s="67">
        <f>'Goals, Inventory, Budget'!G65</f>
        <v>462</v>
      </c>
      <c r="P65" s="229">
        <f>P60+P49+P45+P40+P31+P24</f>
        <v>0</v>
      </c>
      <c r="Q65" s="43">
        <f>'Goals, Inventory, Budget'!I65</f>
        <v>462</v>
      </c>
      <c r="R65" s="48">
        <f>'Goals, Inventory, Budget'!J65</f>
        <v>231</v>
      </c>
      <c r="S65" s="49">
        <f>'Goals, Inventory, Budget'!K65</f>
        <v>115.5</v>
      </c>
      <c r="Z65" s="550" t="str">
        <f>'Goals, Inventory, Budget'!C65</f>
        <v>Grand Total</v>
      </c>
      <c r="AA65" s="67">
        <f>'Goals, Inventory, Budget'!G65</f>
        <v>462</v>
      </c>
      <c r="AB65" s="129" t="str">
        <f>'Goals, Inventory, Budget'!F65</f>
        <v>lbs</v>
      </c>
      <c r="AC65" s="83"/>
      <c r="AD65" s="43">
        <f>'Goals, Inventory, Budget'!I65</f>
        <v>462</v>
      </c>
      <c r="AE65" s="54">
        <f>'Goals, Inventory, Budget'!J65</f>
        <v>231</v>
      </c>
      <c r="AF65" s="55">
        <f>'Goals, Inventory, Budget'!K65</f>
        <v>115.5</v>
      </c>
      <c r="AG65" s="155">
        <f>AG60+AG49+AG45+AG40+AG31+AG24+SUM(AG62:AG63)</f>
        <v>80.15</v>
      </c>
      <c r="AH65" s="156">
        <f>AH60+AH49+AH45+AH40+AH31+AH24</f>
        <v>40.075</v>
      </c>
      <c r="AI65" s="234">
        <f>AI60+AI49+AI45+AI40+AI31+AI24</f>
        <v>20.0375</v>
      </c>
      <c r="AJ65" s="245">
        <f>AJ60+AJ49+AJ45+AJ40+AJ31+AJ24</f>
        <v>6.679166666666667</v>
      </c>
    </row>
    <row r="66" spans="2:40" s="199" customFormat="1" ht="14.25" thickBot="1" thickTop="1">
      <c r="B66" s="553"/>
      <c r="C66" s="205"/>
      <c r="D66" s="547"/>
      <c r="E66" s="202"/>
      <c r="F66" s="202"/>
      <c r="G66" s="201"/>
      <c r="H66" s="201"/>
      <c r="I66" s="203"/>
      <c r="J66" s="203"/>
      <c r="K66" s="203"/>
      <c r="L66" s="204"/>
      <c r="M66" s="205"/>
      <c r="N66" s="202"/>
      <c r="O66" s="201"/>
      <c r="P66" s="201"/>
      <c r="Q66" s="203"/>
      <c r="R66" s="204"/>
      <c r="S66" s="201"/>
      <c r="T66" s="204"/>
      <c r="U66" s="201"/>
      <c r="V66" s="204"/>
      <c r="W66" s="202"/>
      <c r="X66" s="204"/>
      <c r="Y66" s="201"/>
      <c r="Z66" s="554"/>
      <c r="AA66" s="201"/>
      <c r="AB66" s="202"/>
      <c r="AC66" s="208"/>
      <c r="AD66" s="203"/>
      <c r="AE66" s="201"/>
      <c r="AF66" s="206"/>
      <c r="AG66" s="207"/>
      <c r="AH66" s="208"/>
      <c r="AI66" s="208"/>
      <c r="AJ66" s="208"/>
      <c r="AK66" s="289"/>
      <c r="AL66" s="288"/>
      <c r="AM66" s="289"/>
      <c r="AN66" s="289"/>
    </row>
    <row r="67" spans="2:37" ht="48.75" thickBot="1" thickTop="1">
      <c r="B67" s="555" t="s">
        <v>151</v>
      </c>
      <c r="C67" s="638" t="s">
        <v>151</v>
      </c>
      <c r="D67" s="639"/>
      <c r="E67" s="639"/>
      <c r="F67" s="639"/>
      <c r="G67" s="639"/>
      <c r="H67" s="640"/>
      <c r="I67" s="557" t="s">
        <v>217</v>
      </c>
      <c r="J67" s="558">
        <f>'Storage Summary'!C7</f>
        <v>85</v>
      </c>
      <c r="K67" s="558" t="str">
        <f>'Storage Summary'!E7</f>
        <v>lbs</v>
      </c>
      <c r="L67" s="96" t="s">
        <v>188</v>
      </c>
      <c r="M67" s="304" t="str">
        <f>'Goals, Inventory, Budget'!C67</f>
        <v>Legumes</v>
      </c>
      <c r="N67" s="305">
        <f>'Goals, Inventory, Budget'!F67</f>
        <v>0</v>
      </c>
      <c r="O67" s="305">
        <f>'Goals, Inventory, Budget'!G67</f>
        <v>0</v>
      </c>
      <c r="P67" s="305">
        <f>'Goals, Inventory, Budget'!H67</f>
        <v>0</v>
      </c>
      <c r="Q67" s="305" t="str">
        <f>'Goals, Inventory, Budget'!I67</f>
        <v>(Adult Total:</v>
      </c>
      <c r="R67" s="305">
        <f>'Goals, Inventory, Budget'!J67</f>
        <v>85</v>
      </c>
      <c r="S67" s="305" t="str">
        <f>'Goals, Inventory, Budget'!K67</f>
        <v>lbs</v>
      </c>
      <c r="T67" s="110"/>
      <c r="U67" s="112"/>
      <c r="V67" s="110"/>
      <c r="W67" s="111"/>
      <c r="X67" s="110"/>
      <c r="Y67" s="116"/>
      <c r="Z67" s="641" t="str">
        <f>'Goals, Inventory, Budget'!C67</f>
        <v>Legumes</v>
      </c>
      <c r="AA67" s="642"/>
      <c r="AB67" s="642"/>
      <c r="AC67" s="642"/>
      <c r="AD67" s="642"/>
      <c r="AE67" s="643" t="str">
        <f>'Goals, Inventory, Budget'!I67</f>
        <v>(Adult Total:</v>
      </c>
      <c r="AF67" s="644">
        <f>'Goals, Inventory, Budget'!J67</f>
        <v>85</v>
      </c>
      <c r="AG67" s="644" t="str">
        <f>'Goals, Inventory, Budget'!K67</f>
        <v>lbs</v>
      </c>
      <c r="AH67" s="645" t="s">
        <v>188</v>
      </c>
      <c r="AI67" s="646"/>
      <c r="AJ67" s="647"/>
      <c r="AK67" s="292"/>
    </row>
    <row r="68" spans="2:37" ht="63.75">
      <c r="B68" s="555"/>
      <c r="C68" s="483" t="s">
        <v>13</v>
      </c>
      <c r="D68" s="484" t="s">
        <v>14</v>
      </c>
      <c r="E68" s="455" t="s">
        <v>276</v>
      </c>
      <c r="F68" s="455" t="s">
        <v>15</v>
      </c>
      <c r="G68" s="485" t="s">
        <v>190</v>
      </c>
      <c r="H68" s="485" t="s">
        <v>189</v>
      </c>
      <c r="I68" s="485" t="s">
        <v>55</v>
      </c>
      <c r="J68" s="485" t="s">
        <v>56</v>
      </c>
      <c r="K68" s="567" t="s">
        <v>57</v>
      </c>
      <c r="L68" s="46" t="s">
        <v>187</v>
      </c>
      <c r="M68" s="178" t="str">
        <f>'Goals, Inventory, Budget'!C68</f>
        <v>Storage Item</v>
      </c>
      <c r="N68" s="179" t="str">
        <f>'Goals, Inventory, Budget'!F68</f>
        <v>Units</v>
      </c>
      <c r="O68" s="180" t="str">
        <f>'Goals, Inventory, Budget'!G68</f>
        <v>Family Total Goal</v>
      </c>
      <c r="P68" s="180" t="str">
        <f>'Goals, Inventory, Budget'!H68</f>
        <v>In Inventory</v>
      </c>
      <c r="Q68" s="180" t="s">
        <v>191</v>
      </c>
      <c r="R68" s="181" t="s">
        <v>192</v>
      </c>
      <c r="S68" s="180" t="s">
        <v>193</v>
      </c>
      <c r="T68" s="182" t="s">
        <v>194</v>
      </c>
      <c r="U68" s="183" t="s">
        <v>195</v>
      </c>
      <c r="V68" s="182" t="s">
        <v>196</v>
      </c>
      <c r="W68" s="184" t="s">
        <v>197</v>
      </c>
      <c r="X68" s="185" t="s">
        <v>198</v>
      </c>
      <c r="Y68" s="186" t="s">
        <v>199</v>
      </c>
      <c r="Z68" s="483" t="str">
        <f>'Goals, Inventory, Budget'!C68</f>
        <v>Storage Item</v>
      </c>
      <c r="AA68" s="485" t="str">
        <f>'Goals, Inventory, Budget'!G68</f>
        <v>Family Total Goal</v>
      </c>
      <c r="AB68" s="455" t="str">
        <f>'Goals, Inventory, Budget'!F68</f>
        <v>Units</v>
      </c>
      <c r="AC68" s="648" t="s">
        <v>209</v>
      </c>
      <c r="AD68" s="485" t="str">
        <f>'Goals, Inventory, Budget'!I68</f>
        <v>Still Need for 12 months</v>
      </c>
      <c r="AE68" s="485" t="str">
        <f>'Goals, Inventory, Budget'!J68</f>
        <v>Still Need for 6 months</v>
      </c>
      <c r="AF68" s="567" t="str">
        <f>'Goals, Inventory, Budget'!K68</f>
        <v>Still Need for 3 months</v>
      </c>
      <c r="AG68" s="649" t="s">
        <v>210</v>
      </c>
      <c r="AH68" s="649" t="s">
        <v>211</v>
      </c>
      <c r="AI68" s="650" t="s">
        <v>212</v>
      </c>
      <c r="AJ68" s="651" t="s">
        <v>281</v>
      </c>
      <c r="AK68" s="290" t="s">
        <v>285</v>
      </c>
    </row>
    <row r="69" spans="2:37" ht="12.75">
      <c r="B69" s="555"/>
      <c r="C69" s="498" t="s">
        <v>233</v>
      </c>
      <c r="D69" s="572"/>
      <c r="E69" s="572"/>
      <c r="F69" s="572"/>
      <c r="G69" s="572"/>
      <c r="H69" s="573" t="s">
        <v>232</v>
      </c>
      <c r="I69" s="597"/>
      <c r="J69" s="597"/>
      <c r="K69" s="598"/>
      <c r="L69" s="109">
        <f>E81/$J$67</f>
        <v>0</v>
      </c>
      <c r="M69" s="308" t="str">
        <f>'Goals, Inventory, Budget'!C69</f>
        <v>Legumes - dried (Recommended: 75% of Major Category minimum)</v>
      </c>
      <c r="N69" s="309">
        <f>'Goals, Inventory, Budget'!F69</f>
        <v>0</v>
      </c>
      <c r="O69" s="309">
        <f>'Goals, Inventory, Budget'!G69</f>
        <v>0</v>
      </c>
      <c r="P69" s="309" t="str">
        <f>'Goals, Inventory, Budget'!H69</f>
        <v>Actual percentage of major category:</v>
      </c>
      <c r="Q69" s="309">
        <f>'Goals, Inventory, Budget'!I69</f>
        <v>0</v>
      </c>
      <c r="R69" s="309">
        <f>'Goals, Inventory, Budget'!J69</f>
        <v>0</v>
      </c>
      <c r="S69" s="309">
        <f>'Goals, Inventory, Budget'!K69</f>
        <v>0</v>
      </c>
      <c r="T69" s="117"/>
      <c r="U69" s="118"/>
      <c r="V69" s="117"/>
      <c r="W69" s="119"/>
      <c r="X69" s="117"/>
      <c r="Y69" s="120"/>
      <c r="Z69" s="308" t="str">
        <f>'Goals, Inventory, Budget'!C69</f>
        <v>Legumes - dried (Recommended: 75% of Major Category minimum)</v>
      </c>
      <c r="AA69" s="309"/>
      <c r="AB69" s="309"/>
      <c r="AC69" s="309"/>
      <c r="AD69" s="606"/>
      <c r="AE69" s="606"/>
      <c r="AF69" s="600"/>
      <c r="AG69" s="601"/>
      <c r="AH69" s="601"/>
      <c r="AI69" s="601"/>
      <c r="AJ69" s="607"/>
      <c r="AK69" s="578"/>
    </row>
    <row r="70" spans="2:37" ht="12.75">
      <c r="B70" s="555"/>
      <c r="C70" s="9" t="s">
        <v>40</v>
      </c>
      <c r="D70" s="101" t="s">
        <v>24</v>
      </c>
      <c r="E70" s="3"/>
      <c r="F70" s="610" t="s">
        <v>23</v>
      </c>
      <c r="G70" s="63">
        <f aca="true" t="shared" si="26" ref="G70:G80">IF(E70=0,"",FamilyFactor*E70)</f>
      </c>
      <c r="H70" s="266">
        <f aca="true" t="shared" si="27" ref="H70:H80">IF(P70=0,"",P70)</f>
      </c>
      <c r="I70" s="40">
        <f aca="true" t="shared" si="28" ref="I70:I81">IF(G70="","",IF(H70="",G70-0,IF(G70&lt;H70,0,G70-H70)))</f>
      </c>
      <c r="J70" s="19">
        <f aca="true" t="shared" si="29" ref="J70:J80">IF(G70="","",IF(H70="",G70/2-0,IF((G70/2-H70)&lt;=0,0,G70/2-H70)))</f>
      </c>
      <c r="K70" s="20">
        <f aca="true" t="shared" si="30" ref="K70:K80">IF(G70="","",IF(H70="",G70/4-0,IF((G70/4-H70)&lt;=0,0,G70/4-H70)))</f>
      </c>
      <c r="L70" s="21">
        <f aca="true" t="shared" si="31" ref="L70:L80">IF(H70="","",IF(D70="indefinite",0,IF(D70="varies","varies",H70/D70)))</f>
      </c>
      <c r="M70" s="108" t="str">
        <f>'Goals, Inventory, Budget'!C70</f>
        <v>Kidney</v>
      </c>
      <c r="N70" s="11" t="str">
        <f>'Goals, Inventory, Budget'!F70</f>
        <v>lbs</v>
      </c>
      <c r="O70" s="60">
        <f>'Goals, Inventory, Budget'!G70</f>
      </c>
      <c r="P70" s="227">
        <f aca="true" t="shared" si="32" ref="P70:P80">Q70*R70+S70*T70+U70*V70+X70*Y70</f>
        <v>0</v>
      </c>
      <c r="Q70" s="137"/>
      <c r="R70" s="138"/>
      <c r="S70" s="30"/>
      <c r="T70" s="31"/>
      <c r="U70" s="139"/>
      <c r="V70" s="140">
        <f aca="true" t="shared" si="33" ref="V70:V80">IF(R70=0,0,R70*5/0.75)</f>
        <v>0</v>
      </c>
      <c r="W70" s="1"/>
      <c r="X70" s="136"/>
      <c r="Y70" s="141"/>
      <c r="Z70" s="611" t="str">
        <f>'Goals, Inventory, Budget'!C70</f>
        <v>Kidney</v>
      </c>
      <c r="AA70" s="63">
        <f>'Goals, Inventory, Budget'!G70</f>
      </c>
      <c r="AB70" s="23" t="str">
        <f>'Goals, Inventory, Budget'!F70</f>
        <v>lbs</v>
      </c>
      <c r="AC70" s="82"/>
      <c r="AD70" s="40">
        <f>'Goals, Inventory, Budget'!I70</f>
      </c>
      <c r="AE70" s="19">
        <f>'Goals, Inventory, Budget'!J70</f>
      </c>
      <c r="AF70" s="20">
        <f>'Goals, Inventory, Budget'!K70</f>
      </c>
      <c r="AG70" s="146">
        <f aca="true" t="shared" si="34" ref="AG70:AG80">IF(AA70="","",IF(AC70=0,"price?",AD70*AC70))</f>
      </c>
      <c r="AH70" s="147">
        <f aca="true" t="shared" si="35" ref="AH70:AH80">IF(AA70="","",IF(AC70=0,"price?",AE70*AC70))</f>
      </c>
      <c r="AI70" s="147">
        <f aca="true" t="shared" si="36" ref="AI70:AI80">IF(AA70="","",IF(AC70=0,"price?",AF70*AC70))</f>
      </c>
      <c r="AJ70" s="236">
        <f aca="true" t="shared" si="37" ref="AJ70:AJ80">IF(AA70="","",IF(AC70=0,"price?",IF(AD70=0,0,AA70*AC70/12)))</f>
      </c>
      <c r="AK70" s="297"/>
    </row>
    <row r="71" spans="2:37" ht="12.75">
      <c r="B71" s="555"/>
      <c r="C71" s="9" t="s">
        <v>41</v>
      </c>
      <c r="D71" s="101" t="s">
        <v>24</v>
      </c>
      <c r="E71" s="3"/>
      <c r="F71" s="610" t="s">
        <v>23</v>
      </c>
      <c r="G71" s="63">
        <f t="shared" si="26"/>
      </c>
      <c r="H71" s="266">
        <f t="shared" si="27"/>
      </c>
      <c r="I71" s="40">
        <f t="shared" si="28"/>
      </c>
      <c r="J71" s="19">
        <f t="shared" si="29"/>
      </c>
      <c r="K71" s="20">
        <f t="shared" si="30"/>
      </c>
      <c r="L71" s="21">
        <f t="shared" si="31"/>
      </c>
      <c r="M71" s="108" t="str">
        <f>'Goals, Inventory, Budget'!C71</f>
        <v>Navy</v>
      </c>
      <c r="N71" s="11" t="str">
        <f>'Goals, Inventory, Budget'!F71</f>
        <v>lbs</v>
      </c>
      <c r="O71" s="60">
        <f>'Goals, Inventory, Budget'!G71</f>
      </c>
      <c r="P71" s="227">
        <f t="shared" si="32"/>
        <v>0</v>
      </c>
      <c r="Q71" s="137"/>
      <c r="R71" s="138"/>
      <c r="S71" s="30"/>
      <c r="T71" s="31"/>
      <c r="U71" s="139"/>
      <c r="V71" s="140">
        <f t="shared" si="33"/>
        <v>0</v>
      </c>
      <c r="W71" s="1"/>
      <c r="X71" s="136"/>
      <c r="Y71" s="141"/>
      <c r="Z71" s="611" t="str">
        <f>'Goals, Inventory, Budget'!C71</f>
        <v>Navy</v>
      </c>
      <c r="AA71" s="63">
        <f>'Goals, Inventory, Budget'!G71</f>
      </c>
      <c r="AB71" s="23" t="str">
        <f>'Goals, Inventory, Budget'!F71</f>
        <v>lbs</v>
      </c>
      <c r="AC71" s="82"/>
      <c r="AD71" s="40">
        <f>'Goals, Inventory, Budget'!I71</f>
      </c>
      <c r="AE71" s="19">
        <f>'Goals, Inventory, Budget'!J71</f>
      </c>
      <c r="AF71" s="20">
        <f>'Goals, Inventory, Budget'!K71</f>
      </c>
      <c r="AG71" s="146">
        <f t="shared" si="34"/>
      </c>
      <c r="AH71" s="147">
        <f t="shared" si="35"/>
      </c>
      <c r="AI71" s="147">
        <f t="shared" si="36"/>
      </c>
      <c r="AJ71" s="236">
        <f t="shared" si="37"/>
      </c>
      <c r="AK71" s="297"/>
    </row>
    <row r="72" spans="2:37" ht="12.75">
      <c r="B72" s="555"/>
      <c r="C72" s="9" t="s">
        <v>42</v>
      </c>
      <c r="D72" s="101" t="s">
        <v>176</v>
      </c>
      <c r="E72" s="3"/>
      <c r="F72" s="610" t="s">
        <v>23</v>
      </c>
      <c r="G72" s="63">
        <f t="shared" si="26"/>
      </c>
      <c r="H72" s="266">
        <f t="shared" si="27"/>
      </c>
      <c r="I72" s="40">
        <f t="shared" si="28"/>
      </c>
      <c r="J72" s="19">
        <f t="shared" si="29"/>
      </c>
      <c r="K72" s="20">
        <f t="shared" si="30"/>
      </c>
      <c r="L72" s="21">
        <f t="shared" si="31"/>
      </c>
      <c r="M72" s="108" t="str">
        <f>'Goals, Inventory, Budget'!C72</f>
        <v>White</v>
      </c>
      <c r="N72" s="11" t="str">
        <f>'Goals, Inventory, Budget'!F72</f>
        <v>lbs</v>
      </c>
      <c r="O72" s="60">
        <f>'Goals, Inventory, Budget'!G72</f>
      </c>
      <c r="P72" s="227">
        <f t="shared" si="32"/>
        <v>0</v>
      </c>
      <c r="Q72" s="137"/>
      <c r="R72" s="138"/>
      <c r="S72" s="30"/>
      <c r="T72" s="31"/>
      <c r="U72" s="139"/>
      <c r="V72" s="140">
        <f t="shared" si="33"/>
        <v>0</v>
      </c>
      <c r="W72" s="1"/>
      <c r="X72" s="136"/>
      <c r="Y72" s="141"/>
      <c r="Z72" s="611" t="str">
        <f>'Goals, Inventory, Budget'!C72</f>
        <v>White</v>
      </c>
      <c r="AA72" s="63">
        <f>'Goals, Inventory, Budget'!G72</f>
      </c>
      <c r="AB72" s="23" t="str">
        <f>'Goals, Inventory, Budget'!F72</f>
        <v>lbs</v>
      </c>
      <c r="AC72" s="82">
        <v>0.41</v>
      </c>
      <c r="AD72" s="40">
        <f>'Goals, Inventory, Budget'!I72</f>
      </c>
      <c r="AE72" s="19">
        <f>'Goals, Inventory, Budget'!J72</f>
      </c>
      <c r="AF72" s="20">
        <f>'Goals, Inventory, Budget'!K72</f>
      </c>
      <c r="AG72" s="146">
        <f t="shared" si="34"/>
      </c>
      <c r="AH72" s="147">
        <f t="shared" si="35"/>
      </c>
      <c r="AI72" s="147">
        <f t="shared" si="36"/>
      </c>
      <c r="AJ72" s="236">
        <f t="shared" si="37"/>
      </c>
      <c r="AK72" s="297"/>
    </row>
    <row r="73" spans="2:37" ht="12.75">
      <c r="B73" s="555"/>
      <c r="C73" s="9" t="s">
        <v>168</v>
      </c>
      <c r="D73" s="101" t="s">
        <v>176</v>
      </c>
      <c r="E73" s="3"/>
      <c r="F73" s="610" t="s">
        <v>23</v>
      </c>
      <c r="G73" s="63">
        <f t="shared" si="26"/>
      </c>
      <c r="H73" s="266">
        <f t="shared" si="27"/>
      </c>
      <c r="I73" s="40">
        <f t="shared" si="28"/>
      </c>
      <c r="J73" s="19">
        <f t="shared" si="29"/>
      </c>
      <c r="K73" s="20">
        <f t="shared" si="30"/>
      </c>
      <c r="L73" s="21">
        <f t="shared" si="31"/>
      </c>
      <c r="M73" s="108" t="str">
        <f>'Goals, Inventory, Budget'!C73</f>
        <v>Pink</v>
      </c>
      <c r="N73" s="11" t="str">
        <f>'Goals, Inventory, Budget'!F73</f>
        <v>lbs</v>
      </c>
      <c r="O73" s="60">
        <f>'Goals, Inventory, Budget'!G73</f>
      </c>
      <c r="P73" s="227">
        <f t="shared" si="32"/>
        <v>0</v>
      </c>
      <c r="Q73" s="137"/>
      <c r="R73" s="138"/>
      <c r="S73" s="30"/>
      <c r="T73" s="31"/>
      <c r="U73" s="139"/>
      <c r="V73" s="140">
        <f t="shared" si="33"/>
        <v>0</v>
      </c>
      <c r="W73" s="1"/>
      <c r="X73" s="136"/>
      <c r="Y73" s="141"/>
      <c r="Z73" s="611" t="str">
        <f>'Goals, Inventory, Budget'!C73</f>
        <v>Pink</v>
      </c>
      <c r="AA73" s="63">
        <f>'Goals, Inventory, Budget'!G73</f>
      </c>
      <c r="AB73" s="23" t="str">
        <f>'Goals, Inventory, Budget'!F73</f>
        <v>lbs</v>
      </c>
      <c r="AC73" s="82">
        <v>0.42</v>
      </c>
      <c r="AD73" s="40">
        <f>'Goals, Inventory, Budget'!I73</f>
      </c>
      <c r="AE73" s="19">
        <f>'Goals, Inventory, Budget'!J73</f>
      </c>
      <c r="AF73" s="20">
        <f>'Goals, Inventory, Budget'!K73</f>
      </c>
      <c r="AG73" s="146">
        <f t="shared" si="34"/>
      </c>
      <c r="AH73" s="147">
        <f t="shared" si="35"/>
      </c>
      <c r="AI73" s="147">
        <f t="shared" si="36"/>
      </c>
      <c r="AJ73" s="236">
        <f t="shared" si="37"/>
      </c>
      <c r="AK73" s="297"/>
    </row>
    <row r="74" spans="2:37" ht="12.75">
      <c r="B74" s="555"/>
      <c r="C74" s="9" t="s">
        <v>43</v>
      </c>
      <c r="D74" s="101" t="s">
        <v>176</v>
      </c>
      <c r="E74" s="3"/>
      <c r="F74" s="610" t="s">
        <v>23</v>
      </c>
      <c r="G74" s="63">
        <f t="shared" si="26"/>
      </c>
      <c r="H74" s="266">
        <f t="shared" si="27"/>
      </c>
      <c r="I74" s="40">
        <f t="shared" si="28"/>
      </c>
      <c r="J74" s="19">
        <f t="shared" si="29"/>
      </c>
      <c r="K74" s="20">
        <f t="shared" si="30"/>
      </c>
      <c r="L74" s="21">
        <f t="shared" si="31"/>
      </c>
      <c r="M74" s="108" t="str">
        <f>'Goals, Inventory, Budget'!C74</f>
        <v>Pinto</v>
      </c>
      <c r="N74" s="11" t="str">
        <f>'Goals, Inventory, Budget'!F74</f>
        <v>lbs</v>
      </c>
      <c r="O74" s="60">
        <f>'Goals, Inventory, Budget'!G74</f>
      </c>
      <c r="P74" s="227">
        <f t="shared" si="32"/>
        <v>0</v>
      </c>
      <c r="Q74" s="137"/>
      <c r="R74" s="138"/>
      <c r="S74" s="30"/>
      <c r="T74" s="31"/>
      <c r="U74" s="139"/>
      <c r="V74" s="140">
        <f t="shared" si="33"/>
        <v>0</v>
      </c>
      <c r="W74" s="1"/>
      <c r="X74" s="136"/>
      <c r="Y74" s="141"/>
      <c r="Z74" s="611" t="str">
        <f>'Goals, Inventory, Budget'!C74</f>
        <v>Pinto</v>
      </c>
      <c r="AA74" s="63">
        <f>'Goals, Inventory, Budget'!G74</f>
      </c>
      <c r="AB74" s="23" t="str">
        <f>'Goals, Inventory, Budget'!F74</f>
        <v>lbs</v>
      </c>
      <c r="AC74" s="82">
        <v>0.41</v>
      </c>
      <c r="AD74" s="40">
        <f>'Goals, Inventory, Budget'!I74</f>
      </c>
      <c r="AE74" s="19">
        <f>'Goals, Inventory, Budget'!J74</f>
      </c>
      <c r="AF74" s="20">
        <f>'Goals, Inventory, Budget'!K74</f>
      </c>
      <c r="AG74" s="146">
        <f t="shared" si="34"/>
      </c>
      <c r="AH74" s="147">
        <f t="shared" si="35"/>
      </c>
      <c r="AI74" s="147">
        <f t="shared" si="36"/>
      </c>
      <c r="AJ74" s="236">
        <f t="shared" si="37"/>
      </c>
      <c r="AK74" s="297"/>
    </row>
    <row r="75" spans="2:37" ht="12.75">
      <c r="B75" s="555"/>
      <c r="C75" s="9" t="s">
        <v>126</v>
      </c>
      <c r="D75" s="101" t="s">
        <v>45</v>
      </c>
      <c r="E75" s="3"/>
      <c r="F75" s="610" t="s">
        <v>23</v>
      </c>
      <c r="G75" s="63">
        <f t="shared" si="26"/>
      </c>
      <c r="H75" s="266">
        <f t="shared" si="27"/>
      </c>
      <c r="I75" s="40">
        <f t="shared" si="28"/>
      </c>
      <c r="J75" s="19">
        <f t="shared" si="29"/>
      </c>
      <c r="K75" s="20">
        <f t="shared" si="30"/>
      </c>
      <c r="L75" s="21">
        <f t="shared" si="31"/>
      </c>
      <c r="M75" s="108" t="str">
        <f>'Goals, Inventory, Budget'!C75</f>
        <v>Lima</v>
      </c>
      <c r="N75" s="11" t="str">
        <f>'Goals, Inventory, Budget'!F75</f>
        <v>lbs</v>
      </c>
      <c r="O75" s="60">
        <f>'Goals, Inventory, Budget'!G75</f>
      </c>
      <c r="P75" s="227">
        <f t="shared" si="32"/>
        <v>0</v>
      </c>
      <c r="Q75" s="137"/>
      <c r="R75" s="138"/>
      <c r="S75" s="30"/>
      <c r="T75" s="31"/>
      <c r="U75" s="139"/>
      <c r="V75" s="140">
        <f t="shared" si="33"/>
        <v>0</v>
      </c>
      <c r="W75" s="1"/>
      <c r="X75" s="136"/>
      <c r="Y75" s="141"/>
      <c r="Z75" s="611" t="str">
        <f>'Goals, Inventory, Budget'!C75</f>
        <v>Lima</v>
      </c>
      <c r="AA75" s="63">
        <f>'Goals, Inventory, Budget'!G75</f>
      </c>
      <c r="AB75" s="23" t="str">
        <f>'Goals, Inventory, Budget'!F75</f>
        <v>lbs</v>
      </c>
      <c r="AC75" s="82"/>
      <c r="AD75" s="40">
        <f>'Goals, Inventory, Budget'!I75</f>
      </c>
      <c r="AE75" s="19">
        <f>'Goals, Inventory, Budget'!J75</f>
      </c>
      <c r="AF75" s="20">
        <f>'Goals, Inventory, Budget'!K75</f>
      </c>
      <c r="AG75" s="146">
        <f t="shared" si="34"/>
      </c>
      <c r="AH75" s="147">
        <f t="shared" si="35"/>
      </c>
      <c r="AI75" s="147">
        <f t="shared" si="36"/>
      </c>
      <c r="AJ75" s="236">
        <f t="shared" si="37"/>
      </c>
      <c r="AK75" s="297"/>
    </row>
    <row r="76" spans="2:37" ht="12.75">
      <c r="B76" s="555"/>
      <c r="C76" s="9" t="s">
        <v>127</v>
      </c>
      <c r="D76" s="101" t="s">
        <v>45</v>
      </c>
      <c r="E76" s="3"/>
      <c r="F76" s="610" t="s">
        <v>23</v>
      </c>
      <c r="G76" s="63">
        <f t="shared" si="26"/>
      </c>
      <c r="H76" s="266">
        <f t="shared" si="27"/>
      </c>
      <c r="I76" s="40">
        <f t="shared" si="28"/>
      </c>
      <c r="J76" s="19">
        <f t="shared" si="29"/>
      </c>
      <c r="K76" s="20">
        <f t="shared" si="30"/>
      </c>
      <c r="L76" s="21">
        <f t="shared" si="31"/>
      </c>
      <c r="M76" s="108" t="str">
        <f>'Goals, Inventory, Budget'!C76</f>
        <v>Lentils</v>
      </c>
      <c r="N76" s="11" t="str">
        <f>'Goals, Inventory, Budget'!F76</f>
        <v>lbs</v>
      </c>
      <c r="O76" s="60">
        <f>'Goals, Inventory, Budget'!G76</f>
      </c>
      <c r="P76" s="227">
        <f t="shared" si="32"/>
        <v>0</v>
      </c>
      <c r="Q76" s="137"/>
      <c r="R76" s="138"/>
      <c r="S76" s="30"/>
      <c r="T76" s="31"/>
      <c r="U76" s="139"/>
      <c r="V76" s="140">
        <f t="shared" si="33"/>
        <v>0</v>
      </c>
      <c r="W76" s="1"/>
      <c r="X76" s="136"/>
      <c r="Y76" s="141"/>
      <c r="Z76" s="611" t="str">
        <f>'Goals, Inventory, Budget'!C76</f>
        <v>Lentils</v>
      </c>
      <c r="AA76" s="63">
        <f>'Goals, Inventory, Budget'!G76</f>
      </c>
      <c r="AB76" s="23" t="str">
        <f>'Goals, Inventory, Budget'!F76</f>
        <v>lbs</v>
      </c>
      <c r="AC76" s="82"/>
      <c r="AD76" s="40">
        <f>'Goals, Inventory, Budget'!I76</f>
      </c>
      <c r="AE76" s="19">
        <f>'Goals, Inventory, Budget'!J76</f>
      </c>
      <c r="AF76" s="20">
        <f>'Goals, Inventory, Budget'!K76</f>
      </c>
      <c r="AG76" s="146">
        <f t="shared" si="34"/>
      </c>
      <c r="AH76" s="147">
        <f t="shared" si="35"/>
      </c>
      <c r="AI76" s="147">
        <f t="shared" si="36"/>
      </c>
      <c r="AJ76" s="236">
        <f t="shared" si="37"/>
      </c>
      <c r="AK76" s="297"/>
    </row>
    <row r="77" spans="2:37" ht="25.5">
      <c r="B77" s="555"/>
      <c r="C77" s="9" t="s">
        <v>125</v>
      </c>
      <c r="D77" s="101" t="s">
        <v>45</v>
      </c>
      <c r="E77" s="3"/>
      <c r="F77" s="610" t="s">
        <v>23</v>
      </c>
      <c r="G77" s="63">
        <f t="shared" si="26"/>
      </c>
      <c r="H77" s="266">
        <f t="shared" si="27"/>
      </c>
      <c r="I77" s="40">
        <f t="shared" si="28"/>
      </c>
      <c r="J77" s="19">
        <f t="shared" si="29"/>
      </c>
      <c r="K77" s="20">
        <f t="shared" si="30"/>
      </c>
      <c r="L77" s="21">
        <f t="shared" si="31"/>
      </c>
      <c r="M77" s="108" t="str">
        <f>'Goals, Inventory, Budget'!C77</f>
        <v>Peas, green, split, or black-eyed</v>
      </c>
      <c r="N77" s="11" t="str">
        <f>'Goals, Inventory, Budget'!F77</f>
        <v>lbs</v>
      </c>
      <c r="O77" s="60">
        <f>'Goals, Inventory, Budget'!G77</f>
      </c>
      <c r="P77" s="227">
        <f t="shared" si="32"/>
        <v>0</v>
      </c>
      <c r="Q77" s="137"/>
      <c r="R77" s="138"/>
      <c r="S77" s="30"/>
      <c r="T77" s="31"/>
      <c r="U77" s="139"/>
      <c r="V77" s="140">
        <f t="shared" si="33"/>
        <v>0</v>
      </c>
      <c r="W77" s="1"/>
      <c r="X77" s="136"/>
      <c r="Y77" s="141"/>
      <c r="Z77" s="611" t="str">
        <f>'Goals, Inventory, Budget'!C77</f>
        <v>Peas, green, split, or black-eyed</v>
      </c>
      <c r="AA77" s="63">
        <f>'Goals, Inventory, Budget'!G77</f>
      </c>
      <c r="AB77" s="23" t="str">
        <f>'Goals, Inventory, Budget'!F77</f>
        <v>lbs</v>
      </c>
      <c r="AC77" s="82"/>
      <c r="AD77" s="40">
        <f>'Goals, Inventory, Budget'!I77</f>
      </c>
      <c r="AE77" s="19">
        <f>'Goals, Inventory, Budget'!J77</f>
      </c>
      <c r="AF77" s="20">
        <f>'Goals, Inventory, Budget'!K77</f>
      </c>
      <c r="AG77" s="146">
        <f t="shared" si="34"/>
      </c>
      <c r="AH77" s="147">
        <f t="shared" si="35"/>
      </c>
      <c r="AI77" s="147">
        <f t="shared" si="36"/>
      </c>
      <c r="AJ77" s="236">
        <f t="shared" si="37"/>
      </c>
      <c r="AK77" s="297"/>
    </row>
    <row r="78" spans="2:37" ht="12.75">
      <c r="B78" s="555"/>
      <c r="C78" s="9" t="s">
        <v>89</v>
      </c>
      <c r="D78" s="101" t="s">
        <v>177</v>
      </c>
      <c r="E78" s="3"/>
      <c r="F78" s="610" t="s">
        <v>23</v>
      </c>
      <c r="G78" s="63">
        <f t="shared" si="26"/>
      </c>
      <c r="H78" s="266">
        <f t="shared" si="27"/>
      </c>
      <c r="I78" s="40">
        <f t="shared" si="28"/>
      </c>
      <c r="J78" s="19">
        <f t="shared" si="29"/>
      </c>
      <c r="K78" s="20">
        <f t="shared" si="30"/>
      </c>
      <c r="L78" s="21">
        <f t="shared" si="31"/>
      </c>
      <c r="M78" s="108" t="str">
        <f>'Goals, Inventory, Budget'!C78</f>
        <v>Beans, Refried - flakes</v>
      </c>
      <c r="N78" s="11" t="str">
        <f>'Goals, Inventory, Budget'!F78</f>
        <v>lbs</v>
      </c>
      <c r="O78" s="60">
        <f>'Goals, Inventory, Budget'!G78</f>
      </c>
      <c r="P78" s="227">
        <f t="shared" si="32"/>
        <v>0</v>
      </c>
      <c r="Q78" s="137"/>
      <c r="R78" s="138"/>
      <c r="S78" s="30"/>
      <c r="T78" s="31"/>
      <c r="U78" s="139"/>
      <c r="V78" s="140">
        <f t="shared" si="33"/>
        <v>0</v>
      </c>
      <c r="W78" s="1"/>
      <c r="X78" s="136"/>
      <c r="Y78" s="141"/>
      <c r="Z78" s="611" t="str">
        <f>'Goals, Inventory, Budget'!C78</f>
        <v>Beans, Refried - flakes</v>
      </c>
      <c r="AA78" s="63">
        <f>'Goals, Inventory, Budget'!G78</f>
      </c>
      <c r="AB78" s="23" t="str">
        <f>'Goals, Inventory, Budget'!F78</f>
        <v>lbs</v>
      </c>
      <c r="AC78" s="82">
        <v>0.86</v>
      </c>
      <c r="AD78" s="40">
        <f>'Goals, Inventory, Budget'!I78</f>
      </c>
      <c r="AE78" s="19">
        <f>'Goals, Inventory, Budget'!J78</f>
      </c>
      <c r="AF78" s="20">
        <f>'Goals, Inventory, Budget'!K78</f>
      </c>
      <c r="AG78" s="146">
        <f t="shared" si="34"/>
      </c>
      <c r="AH78" s="147">
        <f t="shared" si="35"/>
      </c>
      <c r="AI78" s="147">
        <f t="shared" si="36"/>
      </c>
      <c r="AJ78" s="236">
        <f t="shared" si="37"/>
      </c>
      <c r="AK78" s="297"/>
    </row>
    <row r="79" spans="2:37" ht="12.75">
      <c r="B79" s="555"/>
      <c r="C79" s="9" t="s">
        <v>152</v>
      </c>
      <c r="D79" s="101" t="s">
        <v>45</v>
      </c>
      <c r="E79" s="3"/>
      <c r="F79" s="610" t="s">
        <v>23</v>
      </c>
      <c r="G79" s="63">
        <f>IF(E79=0,"",FamilyFactor*E79)</f>
      </c>
      <c r="H79" s="266">
        <f t="shared" si="27"/>
      </c>
      <c r="I79" s="40">
        <f t="shared" si="28"/>
      </c>
      <c r="J79" s="19">
        <f t="shared" si="29"/>
      </c>
      <c r="K79" s="20">
        <f t="shared" si="30"/>
      </c>
      <c r="L79" s="21">
        <f t="shared" si="31"/>
      </c>
      <c r="M79" s="108" t="str">
        <f>'Goals, Inventory, Budget'!C79</f>
        <v>Dried soup mix (bean)</v>
      </c>
      <c r="N79" s="11" t="str">
        <f>'Goals, Inventory, Budget'!F79</f>
        <v>lbs</v>
      </c>
      <c r="O79" s="60">
        <f>'Goals, Inventory, Budget'!G79</f>
      </c>
      <c r="P79" s="227">
        <f t="shared" si="32"/>
        <v>0</v>
      </c>
      <c r="Q79" s="137"/>
      <c r="R79" s="138"/>
      <c r="S79" s="30"/>
      <c r="T79" s="31"/>
      <c r="U79" s="139"/>
      <c r="V79" s="140">
        <f t="shared" si="33"/>
        <v>0</v>
      </c>
      <c r="W79" s="1"/>
      <c r="X79" s="136"/>
      <c r="Y79" s="141"/>
      <c r="Z79" s="611" t="str">
        <f>'Goals, Inventory, Budget'!C79</f>
        <v>Dried soup mix (bean)</v>
      </c>
      <c r="AA79" s="63">
        <f>'Goals, Inventory, Budget'!G79</f>
      </c>
      <c r="AB79" s="23" t="str">
        <f>'Goals, Inventory, Budget'!F79</f>
        <v>lbs</v>
      </c>
      <c r="AC79" s="82">
        <v>0.59</v>
      </c>
      <c r="AD79" s="40">
        <f>'Goals, Inventory, Budget'!I79</f>
      </c>
      <c r="AE79" s="19">
        <f>'Goals, Inventory, Budget'!J79</f>
      </c>
      <c r="AF79" s="20">
        <f>'Goals, Inventory, Budget'!K79</f>
      </c>
      <c r="AG79" s="146">
        <f t="shared" si="34"/>
      </c>
      <c r="AH79" s="147">
        <f t="shared" si="35"/>
      </c>
      <c r="AI79" s="147">
        <f t="shared" si="36"/>
      </c>
      <c r="AJ79" s="236">
        <f t="shared" si="37"/>
      </c>
      <c r="AK79" s="297"/>
    </row>
    <row r="80" spans="2:37" ht="13.5" thickBot="1">
      <c r="B80" s="555"/>
      <c r="C80" s="169" t="s">
        <v>44</v>
      </c>
      <c r="D80" s="103" t="s">
        <v>45</v>
      </c>
      <c r="E80" s="5"/>
      <c r="F80" s="613" t="s">
        <v>23</v>
      </c>
      <c r="G80" s="65">
        <f t="shared" si="26"/>
      </c>
      <c r="H80" s="268">
        <f t="shared" si="27"/>
      </c>
      <c r="I80" s="73">
        <f t="shared" si="28"/>
      </c>
      <c r="J80" s="56">
        <f t="shared" si="29"/>
      </c>
      <c r="K80" s="57">
        <f t="shared" si="30"/>
      </c>
      <c r="L80" s="21">
        <f t="shared" si="31"/>
      </c>
      <c r="M80" s="108" t="str">
        <f>'Goals, Inventory, Budget'!C80</f>
        <v>Soybeans</v>
      </c>
      <c r="N80" s="11" t="str">
        <f>'Goals, Inventory, Budget'!F80</f>
        <v>lbs</v>
      </c>
      <c r="O80" s="60">
        <f>'Goals, Inventory, Budget'!G80</f>
      </c>
      <c r="P80" s="227">
        <f t="shared" si="32"/>
        <v>0</v>
      </c>
      <c r="Q80" s="137"/>
      <c r="R80" s="138"/>
      <c r="S80" s="30"/>
      <c r="T80" s="31"/>
      <c r="U80" s="139"/>
      <c r="V80" s="140">
        <f t="shared" si="33"/>
        <v>0</v>
      </c>
      <c r="W80" s="1"/>
      <c r="X80" s="136"/>
      <c r="Y80" s="141"/>
      <c r="Z80" s="614" t="str">
        <f>'Goals, Inventory, Budget'!C80</f>
        <v>Soybeans</v>
      </c>
      <c r="AA80" s="65">
        <f>'Goals, Inventory, Budget'!G80</f>
      </c>
      <c r="AB80" s="615" t="str">
        <f>'Goals, Inventory, Budget'!F80</f>
        <v>lbs</v>
      </c>
      <c r="AC80" s="95"/>
      <c r="AD80" s="73">
        <f>'Goals, Inventory, Budget'!I80</f>
      </c>
      <c r="AE80" s="56">
        <f>'Goals, Inventory, Budget'!J80</f>
      </c>
      <c r="AF80" s="57">
        <f>'Goals, Inventory, Budget'!K80</f>
      </c>
      <c r="AG80" s="148">
        <f t="shared" si="34"/>
      </c>
      <c r="AH80" s="149">
        <f t="shared" si="35"/>
      </c>
      <c r="AI80" s="149">
        <f t="shared" si="36"/>
      </c>
      <c r="AJ80" s="250">
        <f t="shared" si="37"/>
      </c>
      <c r="AK80" s="296"/>
    </row>
    <row r="81" spans="2:37" ht="13.5" thickTop="1">
      <c r="B81" s="555"/>
      <c r="C81" s="517" t="s">
        <v>123</v>
      </c>
      <c r="D81" s="518"/>
      <c r="E81" s="616">
        <f>SUM(E70:E80)</f>
        <v>0</v>
      </c>
      <c r="F81" s="616" t="s">
        <v>23</v>
      </c>
      <c r="G81" s="59">
        <f>FamilyFactor*E81</f>
        <v>0</v>
      </c>
      <c r="H81" s="224">
        <f>P81</f>
        <v>0</v>
      </c>
      <c r="I81" s="41">
        <f t="shared" si="28"/>
        <v>0</v>
      </c>
      <c r="J81" s="52">
        <f>IF((G81/2-H81)&lt;=0,0,G81/2-H81)</f>
        <v>0</v>
      </c>
      <c r="K81" s="53">
        <f>IF((G81/4-H81)&lt;=0,0,G81/4-H81)</f>
        <v>0</v>
      </c>
      <c r="L81" s="27"/>
      <c r="M81" s="173" t="str">
        <f>'Goals, Inventory, Budget'!C81</f>
        <v>Total Legumes</v>
      </c>
      <c r="N81" s="127" t="str">
        <f>'Goals, Inventory, Budget'!F81</f>
        <v>lbs</v>
      </c>
      <c r="O81" s="59">
        <f>'Goals, Inventory, Budget'!G81</f>
        <v>0</v>
      </c>
      <c r="P81" s="224">
        <f>SUM(P70:P80)</f>
        <v>0</v>
      </c>
      <c r="Q81" s="591"/>
      <c r="R81" s="592"/>
      <c r="S81" s="593"/>
      <c r="T81" s="592"/>
      <c r="U81" s="593"/>
      <c r="V81" s="592"/>
      <c r="W81" s="594"/>
      <c r="X81" s="592"/>
      <c r="Y81" s="595"/>
      <c r="Z81" s="652" t="str">
        <f>'Goals, Inventory, Budget'!C81</f>
        <v>Total Legumes</v>
      </c>
      <c r="AA81" s="59">
        <f>'Goals, Inventory, Budget'!G81</f>
        <v>0</v>
      </c>
      <c r="AB81" s="653" t="str">
        <f>'Goals, Inventory, Budget'!F81</f>
        <v>lbs</v>
      </c>
      <c r="AC81" s="85"/>
      <c r="AD81" s="41">
        <f>'Goals, Inventory, Budget'!I81</f>
        <v>0</v>
      </c>
      <c r="AE81" s="52">
        <f>'Goals, Inventory, Budget'!J81</f>
        <v>0</v>
      </c>
      <c r="AF81" s="53">
        <f>'Goals, Inventory, Budget'!K81</f>
        <v>0</v>
      </c>
      <c r="AG81" s="144">
        <f>SUM(AG70:AG80)</f>
        <v>0</v>
      </c>
      <c r="AH81" s="145">
        <f>SUM(AH70:AH80)</f>
        <v>0</v>
      </c>
      <c r="AI81" s="233">
        <f>SUM(AI70:AI80)</f>
        <v>0</v>
      </c>
      <c r="AJ81" s="249">
        <f>SUM(AJ70:AJ80)</f>
        <v>0</v>
      </c>
      <c r="AK81" s="654"/>
    </row>
    <row r="82" spans="2:37" ht="25.5" customHeight="1">
      <c r="B82" s="555"/>
      <c r="C82" s="498" t="s">
        <v>234</v>
      </c>
      <c r="D82" s="572"/>
      <c r="E82" s="572"/>
      <c r="F82" s="572"/>
      <c r="G82" s="572"/>
      <c r="H82" s="573" t="s">
        <v>232</v>
      </c>
      <c r="I82" s="597"/>
      <c r="J82" s="597"/>
      <c r="K82" s="598"/>
      <c r="L82" s="109">
        <f>E85/$J$67</f>
        <v>0.07058823529411765</v>
      </c>
      <c r="M82" s="302" t="str">
        <f>'Goals, Inventory, Budget'!C82</f>
        <v>Textured vegetable protein (TVP) (Recommended: 11% of Major Category minimum)</v>
      </c>
      <c r="N82" s="303">
        <f>'Goals, Inventory, Budget'!F82</f>
        <v>0</v>
      </c>
      <c r="O82" s="303">
        <f>'Goals, Inventory, Budget'!G82</f>
        <v>0</v>
      </c>
      <c r="P82" s="303" t="str">
        <f>'Goals, Inventory, Budget'!H82</f>
        <v>Actual percentage of major category:</v>
      </c>
      <c r="Q82" s="303">
        <f>'Goals, Inventory, Budget'!I82</f>
        <v>0</v>
      </c>
      <c r="R82" s="303">
        <f>'Goals, Inventory, Budget'!J82</f>
        <v>0</v>
      </c>
      <c r="S82" s="303">
        <f>'Goals, Inventory, Budget'!K82</f>
        <v>0</v>
      </c>
      <c r="T82" s="114"/>
      <c r="U82" s="113"/>
      <c r="V82" s="114"/>
      <c r="W82" s="115"/>
      <c r="X82" s="114"/>
      <c r="Y82" s="121"/>
      <c r="Z82" s="308" t="str">
        <f>'Goals, Inventory, Budget'!C82</f>
        <v>Textured vegetable protein (TVP) (Recommended: 11% of Major Category minimum)</v>
      </c>
      <c r="AA82" s="309"/>
      <c r="AB82" s="309"/>
      <c r="AC82" s="309"/>
      <c r="AD82" s="606"/>
      <c r="AE82" s="606"/>
      <c r="AF82" s="600"/>
      <c r="AG82" s="601"/>
      <c r="AH82" s="601"/>
      <c r="AI82" s="601"/>
      <c r="AJ82" s="607"/>
      <c r="AK82" s="603"/>
    </row>
    <row r="83" spans="2:37" ht="12.75">
      <c r="B83" s="555"/>
      <c r="C83" s="104" t="s">
        <v>244</v>
      </c>
      <c r="D83" s="98" t="s">
        <v>177</v>
      </c>
      <c r="E83" s="1">
        <v>5</v>
      </c>
      <c r="F83" s="11" t="s">
        <v>23</v>
      </c>
      <c r="G83" s="61">
        <f>IF(E83=0,"",FamilyFactor*E83)</f>
        <v>5</v>
      </c>
      <c r="H83" s="38">
        <f>IF('Goals, Inventory, Budget'!P83=0,"",'Goals, Inventory, Budget'!P83)</f>
      </c>
      <c r="I83" s="40">
        <f>IF(G83="","",IF(H83="",G83-0,IF(G83&lt;H83,0,G83-H83)))</f>
        <v>5</v>
      </c>
      <c r="J83" s="19">
        <f>IF(G83="","",IF(H83="",G83/2-0,IF((G83/2-H83)&lt;=0,0,G83/2-H83)))</f>
        <v>2.5</v>
      </c>
      <c r="K83" s="20">
        <f>IF(G83="","",IF(H83="",G83/4-0,IF((G83/4-H83)&lt;=0,0,G83/4-H83)))</f>
        <v>1.25</v>
      </c>
      <c r="L83" s="21">
        <f>IF(H83="","",IF(D83="indefinite",0,IF(D83="varies","varies",H83/D83)))</f>
      </c>
      <c r="M83" s="108" t="str">
        <f>'Goals, Inventory, Budget'!C83</f>
        <v>TVP, unflavored</v>
      </c>
      <c r="N83" s="11" t="str">
        <f>'Goals, Inventory, Budget'!F83</f>
        <v>lbs</v>
      </c>
      <c r="O83" s="60">
        <f>'Goals, Inventory, Budget'!G83</f>
        <v>5</v>
      </c>
      <c r="P83" s="227">
        <f>Q83*R83+S83*T83+U83*V83+X83*Y83</f>
        <v>0</v>
      </c>
      <c r="Q83" s="137"/>
      <c r="R83" s="138"/>
      <c r="S83" s="30"/>
      <c r="T83" s="31"/>
      <c r="U83" s="139"/>
      <c r="V83" s="140">
        <f>IF(R83=0,0,R83*5/0.75)</f>
        <v>0</v>
      </c>
      <c r="W83" s="1"/>
      <c r="X83" s="136"/>
      <c r="Y83" s="141"/>
      <c r="Z83" s="506" t="str">
        <f>'Goals, Inventory, Budget'!C83</f>
        <v>TVP, unflavored</v>
      </c>
      <c r="AA83" s="61">
        <f>'Goals, Inventory, Budget'!G83</f>
        <v>5</v>
      </c>
      <c r="AB83" s="11" t="str">
        <f>'Goals, Inventory, Budget'!F83</f>
        <v>lbs</v>
      </c>
      <c r="AC83" s="533"/>
      <c r="AD83" s="40">
        <f>'Goals, Inventory, Budget'!I83</f>
        <v>5</v>
      </c>
      <c r="AE83" s="19">
        <f>'Goals, Inventory, Budget'!J83</f>
        <v>2.5</v>
      </c>
      <c r="AF83" s="20">
        <f>'Goals, Inventory, Budget'!K83</f>
        <v>1.25</v>
      </c>
      <c r="AG83" s="146" t="str">
        <f>IF(AA83="","",IF(AC83=0,"price?",AD83*AC83))</f>
        <v>price?</v>
      </c>
      <c r="AH83" s="147" t="str">
        <f>IF(AA83="","",IF(AC83=0,"price?",AE83*AC83))</f>
        <v>price?</v>
      </c>
      <c r="AI83" s="147" t="str">
        <f>IF(AA83="","",IF(AC83=0,"price?",AF83*AC83))</f>
        <v>price?</v>
      </c>
      <c r="AJ83" s="236" t="str">
        <f>IF(AA83="","",IF(AC83=0,"price?",IF(AD83=0,0,AA83*AC83/12)))</f>
        <v>price?</v>
      </c>
      <c r="AK83" s="604"/>
    </row>
    <row r="84" spans="2:37" ht="26.25" thickBot="1">
      <c r="B84" s="555"/>
      <c r="C84" s="168" t="s">
        <v>243</v>
      </c>
      <c r="D84" s="100" t="s">
        <v>177</v>
      </c>
      <c r="E84" s="2">
        <v>1</v>
      </c>
      <c r="F84" s="22" t="s">
        <v>23</v>
      </c>
      <c r="G84" s="62">
        <f>IF(E84=0,"",FamilyFactor*E84)</f>
        <v>1</v>
      </c>
      <c r="H84" s="265">
        <f>IF('Goals, Inventory, Budget'!P84=0,"",'Goals, Inventory, Budget'!P84)</f>
      </c>
      <c r="I84" s="73">
        <f>IF(G84="","",IF(H84="",G84-0,IF(G84&lt;H84,0,G84-H84)))</f>
        <v>1</v>
      </c>
      <c r="J84" s="56">
        <f>IF(G84="","",IF(H84="",G84/2-0,IF((G84/2-H84)&lt;=0,0,G84/2-H84)))</f>
        <v>0.5</v>
      </c>
      <c r="K84" s="57">
        <f>IF(G84="","",IF(H84="",G84/4-0,IF((G84/4-H84)&lt;=0,0,G84/4-H84)))</f>
        <v>0.25</v>
      </c>
      <c r="L84" s="25">
        <f>IF(H84="","",IF(D84="indefinite",0,IF(D84="varies","varies",H84/D84)))</f>
      </c>
      <c r="M84" s="108" t="str">
        <f>'Goals, Inventory, Budget'!C84</f>
        <v>flavorings - ham/beef/chicken/vegetable</v>
      </c>
      <c r="N84" s="11" t="str">
        <f>'Goals, Inventory, Budget'!F84</f>
        <v>lbs</v>
      </c>
      <c r="O84" s="60">
        <f>'Goals, Inventory, Budget'!G84</f>
        <v>1</v>
      </c>
      <c r="P84" s="227">
        <f>Q84*R84+S84*T84+U84*V84+X84*Y84</f>
        <v>0</v>
      </c>
      <c r="Q84" s="137"/>
      <c r="R84" s="138"/>
      <c r="S84" s="30"/>
      <c r="T84" s="31"/>
      <c r="U84" s="139"/>
      <c r="V84" s="140">
        <f>IF(R84=0,0,R84*5/0.75)</f>
        <v>0</v>
      </c>
      <c r="W84" s="1"/>
      <c r="X84" s="136"/>
      <c r="Y84" s="141"/>
      <c r="Z84" s="589" t="str">
        <f>'Goals, Inventory, Budget'!C84</f>
        <v>flavorings - ham/beef/chicken/vegetable</v>
      </c>
      <c r="AA84" s="62">
        <f>'Goals, Inventory, Budget'!G84</f>
        <v>1</v>
      </c>
      <c r="AB84" s="22" t="str">
        <f>'Goals, Inventory, Budget'!F84</f>
        <v>lbs</v>
      </c>
      <c r="AC84" s="590"/>
      <c r="AD84" s="73">
        <f>'Goals, Inventory, Budget'!I84</f>
        <v>1</v>
      </c>
      <c r="AE84" s="56">
        <f>'Goals, Inventory, Budget'!J84</f>
        <v>0.5</v>
      </c>
      <c r="AF84" s="57">
        <f>'Goals, Inventory, Budget'!K84</f>
        <v>0.25</v>
      </c>
      <c r="AG84" s="148" t="str">
        <f>IF(AA84="","",IF(AC84=0,"price?",AD84*AC84))</f>
        <v>price?</v>
      </c>
      <c r="AH84" s="149" t="str">
        <f>IF(AA84="","",IF(AC84=0,"price?",AE84*AC84))</f>
        <v>price?</v>
      </c>
      <c r="AI84" s="149" t="str">
        <f>IF(AA84="","",IF(AC84=0,"price?",AF84*AC84))</f>
        <v>price?</v>
      </c>
      <c r="AJ84" s="250" t="str">
        <f>IF(AA84="","",IF(AC84=0,"price?",IF(AD84=0,0,AA84*AC84/12)))</f>
        <v>price?</v>
      </c>
      <c r="AK84" s="625"/>
    </row>
    <row r="85" spans="2:36" ht="14.25" thickBot="1" thickTop="1">
      <c r="B85" s="555"/>
      <c r="C85" s="517" t="s">
        <v>134</v>
      </c>
      <c r="D85" s="518"/>
      <c r="E85" s="122">
        <f>SUM(E83:E84)</f>
        <v>6</v>
      </c>
      <c r="F85" s="122" t="s">
        <v>23</v>
      </c>
      <c r="G85" s="59">
        <f>FamilyFactor*E85</f>
        <v>6</v>
      </c>
      <c r="H85" s="224">
        <f>P85</f>
        <v>0</v>
      </c>
      <c r="I85" s="41">
        <f>IF(G85="","",IF(H85="",G85-0,IF(G85&lt;H85,0,G85-H85)))</f>
        <v>6</v>
      </c>
      <c r="J85" s="52">
        <f>IF((G85/2-H85)&lt;=0,0,G85/2-H85)</f>
        <v>3</v>
      </c>
      <c r="K85" s="53">
        <f>IF((G85/4-H85)&lt;=0,0,G85/4-H85)</f>
        <v>1.5</v>
      </c>
      <c r="M85" s="173" t="str">
        <f>'Goals, Inventory, Budget'!C85</f>
        <v>Total TVP</v>
      </c>
      <c r="N85" s="126" t="str">
        <f>'Goals, Inventory, Budget'!F85</f>
        <v>lbs</v>
      </c>
      <c r="O85" s="59">
        <f>'Goals, Inventory, Budget'!G85</f>
        <v>6</v>
      </c>
      <c r="P85" s="224">
        <f>SUM(P83:P84)</f>
        <v>0</v>
      </c>
      <c r="Q85" s="591"/>
      <c r="R85" s="592"/>
      <c r="S85" s="593"/>
      <c r="T85" s="655"/>
      <c r="U85" s="216"/>
      <c r="V85" s="655"/>
      <c r="W85" s="551"/>
      <c r="X85" s="655"/>
      <c r="Y85" s="656"/>
      <c r="Z85" s="519" t="str">
        <f>'Goals, Inventory, Budget'!C85</f>
        <v>Total TVP</v>
      </c>
      <c r="AA85" s="59">
        <f>'Goals, Inventory, Budget'!G85</f>
        <v>6</v>
      </c>
      <c r="AB85" s="126" t="str">
        <f>'Goals, Inventory, Budget'!F85</f>
        <v>lbs</v>
      </c>
      <c r="AC85" s="84"/>
      <c r="AD85" s="41">
        <f>'Goals, Inventory, Budget'!I85</f>
        <v>6</v>
      </c>
      <c r="AE85" s="86">
        <f>'Goals, Inventory, Budget'!J85</f>
        <v>3</v>
      </c>
      <c r="AF85" s="87">
        <f>'Goals, Inventory, Budget'!K85</f>
        <v>1.5</v>
      </c>
      <c r="AG85" s="161">
        <f>SUM(AG83:AG84)</f>
        <v>0</v>
      </c>
      <c r="AH85" s="162">
        <f>SUM(AH83:AH84)</f>
        <v>0</v>
      </c>
      <c r="AI85" s="254">
        <f>SUM(AI83:AI84)</f>
        <v>0</v>
      </c>
      <c r="AJ85" s="248">
        <f>SUM(AJ83:AJ84)</f>
        <v>0</v>
      </c>
    </row>
    <row r="86" spans="2:36" ht="65.25" thickBot="1" thickTop="1">
      <c r="B86" s="555"/>
      <c r="C86" s="626" t="s">
        <v>151</v>
      </c>
      <c r="D86" s="627"/>
      <c r="E86" s="125" t="s">
        <v>276</v>
      </c>
      <c r="F86" s="125" t="s">
        <v>15</v>
      </c>
      <c r="G86" s="124" t="s">
        <v>190</v>
      </c>
      <c r="H86" s="124" t="s">
        <v>189</v>
      </c>
      <c r="I86" s="124" t="s">
        <v>55</v>
      </c>
      <c r="J86" s="124" t="s">
        <v>56</v>
      </c>
      <c r="K86" s="123" t="s">
        <v>57</v>
      </c>
      <c r="M86" s="133" t="str">
        <f>'Goals, Inventory, Budget'!C86</f>
        <v>Legumes</v>
      </c>
      <c r="N86" s="125" t="str">
        <f>'Goals, Inventory, Budget'!F86</f>
        <v>Units</v>
      </c>
      <c r="O86" s="124" t="str">
        <f>'Goals, Inventory, Budget'!G86</f>
        <v>Family Total Goal</v>
      </c>
      <c r="P86" s="124" t="str">
        <f>'Goals, Inventory, Budget'!H86</f>
        <v>In Inventory</v>
      </c>
      <c r="Q86" s="124" t="str">
        <f>'Goals, Inventory, Budget'!I86</f>
        <v>Still Need for 12 months</v>
      </c>
      <c r="R86" s="134" t="str">
        <f>'Goals, Inventory, Budget'!J86</f>
        <v>Still Need for 6 months</v>
      </c>
      <c r="S86" s="135" t="str">
        <f>'Goals, Inventory, Budget'!K86</f>
        <v>Still Need for 3 months</v>
      </c>
      <c r="T86" s="197"/>
      <c r="Z86" s="657" t="str">
        <f>'Goals, Inventory, Budget'!C86</f>
        <v>Legumes</v>
      </c>
      <c r="AA86" s="124" t="str">
        <f>'Goals, Inventory, Budget'!G86</f>
        <v>Family Total Goal</v>
      </c>
      <c r="AB86" s="125" t="str">
        <f>'Goals, Inventory, Budget'!F86</f>
        <v>Units</v>
      </c>
      <c r="AC86" s="150" t="s">
        <v>209</v>
      </c>
      <c r="AD86" s="124" t="str">
        <f>'Goals, Inventory, Budget'!I86</f>
        <v>Still Need for 12 months</v>
      </c>
      <c r="AE86" s="658" t="str">
        <f>'Goals, Inventory, Budget'!J86</f>
        <v>Still Need for 6 months</v>
      </c>
      <c r="AF86" s="659" t="str">
        <f>'Goals, Inventory, Budget'!K86</f>
        <v>Still Need for 3 months</v>
      </c>
      <c r="AG86" s="660" t="s">
        <v>210</v>
      </c>
      <c r="AH86" s="660" t="s">
        <v>211</v>
      </c>
      <c r="AI86" s="661" t="s">
        <v>212</v>
      </c>
      <c r="AJ86" s="662" t="s">
        <v>281</v>
      </c>
    </row>
    <row r="87" spans="2:36" ht="14.25" thickBot="1" thickTop="1">
      <c r="B87" s="555"/>
      <c r="C87" s="635" t="s">
        <v>48</v>
      </c>
      <c r="D87" s="636"/>
      <c r="E87" s="637">
        <f>SUM(E81,E85)</f>
        <v>6</v>
      </c>
      <c r="F87" s="637" t="s">
        <v>23</v>
      </c>
      <c r="G87" s="67">
        <f>FamilyFactor*E87</f>
        <v>6</v>
      </c>
      <c r="H87" s="229">
        <f>P87</f>
        <v>0</v>
      </c>
      <c r="I87" s="43">
        <f>IF(G87="","",IF(H87="",G87-0,IF(G87&lt;H87,0,G87-H87)))</f>
        <v>6</v>
      </c>
      <c r="J87" s="54">
        <f>IF((G87/2-H87)&lt;=0,0,G87/2-H87)</f>
        <v>3</v>
      </c>
      <c r="K87" s="55">
        <f>IF((G87/4-H87)&lt;=0,0,G87/4-H87)</f>
        <v>1.5</v>
      </c>
      <c r="M87" s="128" t="str">
        <f>'Goals, Inventory, Budget'!C87</f>
        <v>Grand Total</v>
      </c>
      <c r="N87" s="129" t="str">
        <f>'Goals, Inventory, Budget'!F87</f>
        <v>lbs</v>
      </c>
      <c r="O87" s="67">
        <f>'Goals, Inventory, Budget'!G87</f>
        <v>6</v>
      </c>
      <c r="P87" s="229">
        <f>P85+P81</f>
        <v>0</v>
      </c>
      <c r="Q87" s="43">
        <f>'Goals, Inventory, Budget'!I87</f>
        <v>6</v>
      </c>
      <c r="R87" s="48">
        <f>'Goals, Inventory, Budget'!J87</f>
        <v>3</v>
      </c>
      <c r="S87" s="49">
        <f>'Goals, Inventory, Budget'!K87</f>
        <v>1.5</v>
      </c>
      <c r="T87" s="197"/>
      <c r="Z87" s="663" t="str">
        <f>'Goals, Inventory, Budget'!C87</f>
        <v>Grand Total</v>
      </c>
      <c r="AA87" s="67">
        <f>'Goals, Inventory, Budget'!G87</f>
        <v>6</v>
      </c>
      <c r="AB87" s="129" t="str">
        <f>'Goals, Inventory, Budget'!F87</f>
        <v>lbs</v>
      </c>
      <c r="AC87" s="83"/>
      <c r="AD87" s="43">
        <f>'Goals, Inventory, Budget'!I87</f>
        <v>6</v>
      </c>
      <c r="AE87" s="54">
        <f>'Goals, Inventory, Budget'!J87</f>
        <v>3</v>
      </c>
      <c r="AF87" s="55">
        <f>'Goals, Inventory, Budget'!K87</f>
        <v>1.5</v>
      </c>
      <c r="AG87" s="155">
        <f>AG85+AG81</f>
        <v>0</v>
      </c>
      <c r="AH87" s="156">
        <f>AH85+AH81</f>
        <v>0</v>
      </c>
      <c r="AI87" s="234">
        <f>AI85+AI81</f>
        <v>0</v>
      </c>
      <c r="AJ87" s="245">
        <f>AJ85+AJ81</f>
        <v>0</v>
      </c>
    </row>
    <row r="88" spans="2:40" s="199" customFormat="1" ht="14.25" thickBot="1" thickTop="1">
      <c r="B88" s="553"/>
      <c r="C88" s="205"/>
      <c r="D88" s="547"/>
      <c r="E88" s="202"/>
      <c r="F88" s="202"/>
      <c r="G88" s="201"/>
      <c r="H88" s="201"/>
      <c r="I88" s="203"/>
      <c r="J88" s="203"/>
      <c r="K88" s="203"/>
      <c r="L88" s="204"/>
      <c r="M88" s="205"/>
      <c r="N88" s="202"/>
      <c r="O88" s="201"/>
      <c r="P88" s="201"/>
      <c r="Q88" s="203"/>
      <c r="R88" s="204"/>
      <c r="S88" s="201"/>
      <c r="T88" s="204"/>
      <c r="U88" s="201"/>
      <c r="V88" s="204"/>
      <c r="W88" s="202"/>
      <c r="X88" s="204"/>
      <c r="Y88" s="201"/>
      <c r="Z88" s="554"/>
      <c r="AA88" s="201"/>
      <c r="AB88" s="202"/>
      <c r="AC88" s="208"/>
      <c r="AD88" s="203"/>
      <c r="AE88" s="201"/>
      <c r="AF88" s="206"/>
      <c r="AG88" s="207"/>
      <c r="AH88" s="208"/>
      <c r="AI88" s="208"/>
      <c r="AJ88" s="208"/>
      <c r="AK88" s="289"/>
      <c r="AL88" s="288"/>
      <c r="AM88" s="289"/>
      <c r="AN88" s="289"/>
    </row>
    <row r="89" spans="2:37" ht="48.75" thickBot="1" thickTop="1">
      <c r="B89" s="555" t="s">
        <v>51</v>
      </c>
      <c r="C89" s="638" t="s">
        <v>51</v>
      </c>
      <c r="D89" s="639"/>
      <c r="E89" s="639"/>
      <c r="F89" s="639"/>
      <c r="G89" s="639"/>
      <c r="H89" s="640"/>
      <c r="I89" s="557" t="s">
        <v>217</v>
      </c>
      <c r="J89" s="558">
        <f>'Storage Summary'!C8</f>
        <v>200</v>
      </c>
      <c r="K89" s="558" t="str">
        <f>'Storage Summary'!E8</f>
        <v>lbs</v>
      </c>
      <c r="L89" s="96" t="s">
        <v>188</v>
      </c>
      <c r="M89" s="304" t="str">
        <f>'Goals, Inventory, Budget'!C89</f>
        <v>Powdered Milk, Dairy Products, &amp; Eggs</v>
      </c>
      <c r="N89" s="305">
        <f>'Goals, Inventory, Budget'!F89</f>
        <v>0</v>
      </c>
      <c r="O89" s="305">
        <f>'Goals, Inventory, Budget'!G89</f>
        <v>0</v>
      </c>
      <c r="P89" s="305">
        <f>'Goals, Inventory, Budget'!H89</f>
        <v>0</v>
      </c>
      <c r="Q89" s="305" t="str">
        <f>'Goals, Inventory, Budget'!I89</f>
        <v>(Adult Total:</v>
      </c>
      <c r="R89" s="305">
        <f>'Goals, Inventory, Budget'!J89</f>
        <v>200</v>
      </c>
      <c r="S89" s="305" t="str">
        <f>'Goals, Inventory, Budget'!K89</f>
        <v>lbs</v>
      </c>
      <c r="T89" s="110"/>
      <c r="U89" s="112"/>
      <c r="V89" s="110"/>
      <c r="W89" s="111"/>
      <c r="X89" s="110"/>
      <c r="Y89" s="116"/>
      <c r="Z89" s="641" t="str">
        <f>'Goals, Inventory, Budget'!C89</f>
        <v>Powdered Milk, Dairy Products, &amp; Eggs</v>
      </c>
      <c r="AA89" s="642"/>
      <c r="AB89" s="642"/>
      <c r="AC89" s="642"/>
      <c r="AD89" s="642"/>
      <c r="AE89" s="643" t="str">
        <f>'Goals, Inventory, Budget'!I89</f>
        <v>(Adult Total:</v>
      </c>
      <c r="AF89" s="644">
        <f>'Goals, Inventory, Budget'!J89</f>
        <v>200</v>
      </c>
      <c r="AG89" s="644" t="str">
        <f>'Goals, Inventory, Budget'!K89</f>
        <v>lbs</v>
      </c>
      <c r="AH89" s="645" t="s">
        <v>188</v>
      </c>
      <c r="AI89" s="646"/>
      <c r="AJ89" s="647"/>
      <c r="AK89" s="292"/>
    </row>
    <row r="90" spans="2:37" ht="63.75">
      <c r="B90" s="555"/>
      <c r="C90" s="483" t="s">
        <v>13</v>
      </c>
      <c r="D90" s="484" t="s">
        <v>14</v>
      </c>
      <c r="E90" s="455" t="s">
        <v>276</v>
      </c>
      <c r="F90" s="455" t="s">
        <v>15</v>
      </c>
      <c r="G90" s="485" t="s">
        <v>190</v>
      </c>
      <c r="H90" s="485" t="s">
        <v>189</v>
      </c>
      <c r="I90" s="485" t="s">
        <v>55</v>
      </c>
      <c r="J90" s="485" t="s">
        <v>56</v>
      </c>
      <c r="K90" s="567" t="s">
        <v>57</v>
      </c>
      <c r="L90" s="46" t="s">
        <v>187</v>
      </c>
      <c r="M90" s="178" t="str">
        <f>'Goals, Inventory, Budget'!C90</f>
        <v>Storage Item</v>
      </c>
      <c r="N90" s="179" t="str">
        <f>'Goals, Inventory, Budget'!F90</f>
        <v>Units</v>
      </c>
      <c r="O90" s="180" t="str">
        <f>'Goals, Inventory, Budget'!G90</f>
        <v>Family Total Goal</v>
      </c>
      <c r="P90" s="180" t="str">
        <f>'Goals, Inventory, Budget'!H90</f>
        <v>In Inventory</v>
      </c>
      <c r="Q90" s="180" t="s">
        <v>191</v>
      </c>
      <c r="R90" s="181" t="s">
        <v>192</v>
      </c>
      <c r="S90" s="180" t="s">
        <v>193</v>
      </c>
      <c r="T90" s="182" t="s">
        <v>194</v>
      </c>
      <c r="U90" s="183" t="s">
        <v>195</v>
      </c>
      <c r="V90" s="182" t="s">
        <v>196</v>
      </c>
      <c r="W90" s="184" t="s">
        <v>197</v>
      </c>
      <c r="X90" s="185" t="s">
        <v>198</v>
      </c>
      <c r="Y90" s="186" t="s">
        <v>199</v>
      </c>
      <c r="Z90" s="483" t="str">
        <f>'Goals, Inventory, Budget'!C90</f>
        <v>Storage Item</v>
      </c>
      <c r="AA90" s="485" t="str">
        <f>'Goals, Inventory, Budget'!G90</f>
        <v>Family Total Goal</v>
      </c>
      <c r="AB90" s="455" t="str">
        <f>'Goals, Inventory, Budget'!F90</f>
        <v>Units</v>
      </c>
      <c r="AC90" s="648" t="s">
        <v>209</v>
      </c>
      <c r="AD90" s="485" t="str">
        <f>'Goals, Inventory, Budget'!I90</f>
        <v>Still Need for 12 months</v>
      </c>
      <c r="AE90" s="485" t="str">
        <f>'Goals, Inventory, Budget'!J90</f>
        <v>Still Need for 6 months</v>
      </c>
      <c r="AF90" s="567" t="str">
        <f>'Goals, Inventory, Budget'!K90</f>
        <v>Still Need for 3 months</v>
      </c>
      <c r="AG90" s="649" t="s">
        <v>210</v>
      </c>
      <c r="AH90" s="649" t="s">
        <v>211</v>
      </c>
      <c r="AI90" s="650" t="s">
        <v>212</v>
      </c>
      <c r="AJ90" s="651" t="s">
        <v>281</v>
      </c>
      <c r="AK90" s="290" t="s">
        <v>285</v>
      </c>
    </row>
    <row r="91" spans="2:37" ht="29.25" customHeight="1">
      <c r="B91" s="555"/>
      <c r="C91" s="498" t="s">
        <v>235</v>
      </c>
      <c r="D91" s="572"/>
      <c r="E91" s="572"/>
      <c r="F91" s="572"/>
      <c r="G91" s="572"/>
      <c r="H91" s="573" t="s">
        <v>232</v>
      </c>
      <c r="I91" s="597"/>
      <c r="J91" s="597"/>
      <c r="K91" s="598"/>
      <c r="L91" s="109">
        <f>E99/$J$89</f>
        <v>0.725</v>
      </c>
      <c r="M91" s="302" t="str">
        <f>'Goals, Inventory, Budget'!C91</f>
        <v>Dairy products, dried &amp; powdered (Recommended: 75% of Major Category minimum)</v>
      </c>
      <c r="N91" s="303">
        <f>'Goals, Inventory, Budget'!F91</f>
        <v>0</v>
      </c>
      <c r="O91" s="303">
        <f>'Goals, Inventory, Budget'!G91</f>
        <v>0</v>
      </c>
      <c r="P91" s="303" t="str">
        <f>'Goals, Inventory, Budget'!H91</f>
        <v>Actual percentage of major category:</v>
      </c>
      <c r="Q91" s="303">
        <f>'Goals, Inventory, Budget'!I91</f>
        <v>0</v>
      </c>
      <c r="R91" s="303">
        <f>'Goals, Inventory, Budget'!J91</f>
        <v>0</v>
      </c>
      <c r="S91" s="303">
        <f>'Goals, Inventory, Budget'!K91</f>
        <v>0</v>
      </c>
      <c r="T91" s="114"/>
      <c r="U91" s="113"/>
      <c r="V91" s="114"/>
      <c r="W91" s="115"/>
      <c r="X91" s="114"/>
      <c r="Y91" s="121"/>
      <c r="Z91" s="308" t="str">
        <f>'Goals, Inventory, Budget'!C91</f>
        <v>Dairy products, dried &amp; powdered (Recommended: 75% of Major Category minimum)</v>
      </c>
      <c r="AA91" s="309"/>
      <c r="AB91" s="309"/>
      <c r="AC91" s="309"/>
      <c r="AD91" s="119"/>
      <c r="AE91" s="119"/>
      <c r="AF91" s="576"/>
      <c r="AG91" s="525"/>
      <c r="AH91" s="525"/>
      <c r="AI91" s="525"/>
      <c r="AJ91" s="577"/>
      <c r="AK91" s="578"/>
    </row>
    <row r="92" spans="2:37" ht="12.75">
      <c r="B92" s="555"/>
      <c r="C92" s="104" t="s">
        <v>236</v>
      </c>
      <c r="D92" s="98" t="s">
        <v>182</v>
      </c>
      <c r="E92" s="1">
        <v>100</v>
      </c>
      <c r="F92" s="504" t="s">
        <v>23</v>
      </c>
      <c r="G92" s="61">
        <f aca="true" t="shared" si="38" ref="G92:G98">IF(E92=0,"",FamilyFactor*E92)</f>
        <v>100</v>
      </c>
      <c r="H92" s="38">
        <f aca="true" t="shared" si="39" ref="H92:H98">IF(P92=0,"",P92)</f>
      </c>
      <c r="I92" s="40">
        <f aca="true" t="shared" si="40" ref="I92:I98">IF(G92="","",IF(H92="",G92-0,IF(G92&lt;H92,0,G92-H92)))</f>
        <v>100</v>
      </c>
      <c r="J92" s="19">
        <f aca="true" t="shared" si="41" ref="J92:J98">IF(G92="","",IF(H92="",G92/2-0,IF((G92/2-H92)&lt;=0,0,G92/2-H92)))</f>
        <v>50</v>
      </c>
      <c r="K92" s="20">
        <f aca="true" t="shared" si="42" ref="K92:K98">IF(G92="","",IF(H92="",G92/4-0,IF((G92/4-H92)&lt;=0,0,G92/4-H92)))</f>
        <v>25</v>
      </c>
      <c r="L92" s="21">
        <f aca="true" t="shared" si="43" ref="L92:L98">IF(H92="","",IF(D92="indefinite",0,IF(D92="varies","varies",H92/D92)))</f>
      </c>
      <c r="M92" s="108" t="str">
        <f>'Goals, Inventory, Budget'!C92</f>
        <v>milk, non-instant powdered</v>
      </c>
      <c r="N92" s="11" t="str">
        <f>'Goals, Inventory, Budget'!F92</f>
        <v>lbs</v>
      </c>
      <c r="O92" s="60">
        <f>'Goals, Inventory, Budget'!G92</f>
        <v>100</v>
      </c>
      <c r="P92" s="227">
        <f aca="true" t="shared" si="44" ref="P92:P98">Q92*R92+S92*T92+U92*V92+X92*Y92</f>
        <v>0</v>
      </c>
      <c r="Q92" s="137"/>
      <c r="R92" s="138"/>
      <c r="S92" s="30"/>
      <c r="T92" s="31"/>
      <c r="U92" s="139"/>
      <c r="V92" s="140">
        <f aca="true" t="shared" si="45" ref="V92:V98">IF(R92=0,0,R92*5/0.75)</f>
        <v>0</v>
      </c>
      <c r="W92" s="1"/>
      <c r="X92" s="136"/>
      <c r="Y92" s="141"/>
      <c r="Z92" s="506" t="str">
        <f>'Goals, Inventory, Budget'!C92</f>
        <v>milk, non-instant powdered</v>
      </c>
      <c r="AA92" s="61">
        <f>'Goals, Inventory, Budget'!G92</f>
        <v>100</v>
      </c>
      <c r="AB92" s="11" t="str">
        <f>'Goals, Inventory, Budget'!F92</f>
        <v>lbs</v>
      </c>
      <c r="AC92" s="74">
        <v>1.29</v>
      </c>
      <c r="AD92" s="40">
        <f>'Goals, Inventory, Budget'!I92</f>
        <v>100</v>
      </c>
      <c r="AE92" s="19">
        <f>'Goals, Inventory, Budget'!J92</f>
        <v>50</v>
      </c>
      <c r="AF92" s="20">
        <f>'Goals, Inventory, Budget'!K92</f>
        <v>25</v>
      </c>
      <c r="AG92" s="146">
        <f aca="true" t="shared" si="46" ref="AG92:AG98">IF(AA92="","",IF(AC92=0,"price?",AD92*AC92))</f>
        <v>129</v>
      </c>
      <c r="AH92" s="147">
        <f aca="true" t="shared" si="47" ref="AH92:AH98">IF(AA92="","",IF(AC92=0,"price?",AE92*AC92))</f>
        <v>64.5</v>
      </c>
      <c r="AI92" s="147">
        <f aca="true" t="shared" si="48" ref="AI92:AI98">IF(AA92="","",IF(AC92=0,"price?",AF92*AC92))</f>
        <v>32.25</v>
      </c>
      <c r="AJ92" s="236">
        <f aca="true" t="shared" si="49" ref="AJ92:AJ98">IF(AA92="","",IF(AC92=0,"price?",IF(AD92=0,0,AA92*AC92/12)))</f>
        <v>10.75</v>
      </c>
      <c r="AK92" s="297"/>
    </row>
    <row r="93" spans="2:37" ht="12.75">
      <c r="B93" s="555"/>
      <c r="C93" s="104" t="s">
        <v>237</v>
      </c>
      <c r="D93" s="98" t="s">
        <v>176</v>
      </c>
      <c r="E93" s="1">
        <v>20</v>
      </c>
      <c r="F93" s="504" t="s">
        <v>23</v>
      </c>
      <c r="G93" s="61">
        <f t="shared" si="38"/>
        <v>20</v>
      </c>
      <c r="H93" s="38">
        <f t="shared" si="39"/>
      </c>
      <c r="I93" s="40">
        <f t="shared" si="40"/>
        <v>20</v>
      </c>
      <c r="J93" s="19">
        <f t="shared" si="41"/>
        <v>10</v>
      </c>
      <c r="K93" s="20">
        <f t="shared" si="42"/>
        <v>5</v>
      </c>
      <c r="L93" s="21">
        <f t="shared" si="43"/>
      </c>
      <c r="M93" s="108" t="str">
        <f>'Goals, Inventory, Budget'!C93</f>
        <v>butter, dehydrated</v>
      </c>
      <c r="N93" s="11" t="str">
        <f>'Goals, Inventory, Budget'!F93</f>
        <v>lbs</v>
      </c>
      <c r="O93" s="60">
        <f>'Goals, Inventory, Budget'!G93</f>
        <v>20</v>
      </c>
      <c r="P93" s="227">
        <f t="shared" si="44"/>
        <v>0</v>
      </c>
      <c r="Q93" s="137"/>
      <c r="R93" s="138"/>
      <c r="S93" s="30"/>
      <c r="T93" s="31"/>
      <c r="U93" s="139"/>
      <c r="V93" s="140">
        <f t="shared" si="45"/>
        <v>0</v>
      </c>
      <c r="W93" s="1"/>
      <c r="X93" s="136"/>
      <c r="Y93" s="141"/>
      <c r="Z93" s="506" t="str">
        <f>'Goals, Inventory, Budget'!C93</f>
        <v>butter, dehydrated</v>
      </c>
      <c r="AA93" s="61">
        <f>'Goals, Inventory, Budget'!G93</f>
        <v>20</v>
      </c>
      <c r="AB93" s="11" t="str">
        <f>'Goals, Inventory, Budget'!F93</f>
        <v>lbs</v>
      </c>
      <c r="AC93" s="74"/>
      <c r="AD93" s="40">
        <f>'Goals, Inventory, Budget'!I93</f>
        <v>20</v>
      </c>
      <c r="AE93" s="19">
        <f>'Goals, Inventory, Budget'!J93</f>
        <v>10</v>
      </c>
      <c r="AF93" s="20">
        <f>'Goals, Inventory, Budget'!K93</f>
        <v>5</v>
      </c>
      <c r="AG93" s="146" t="str">
        <f t="shared" si="46"/>
        <v>price?</v>
      </c>
      <c r="AH93" s="147" t="str">
        <f t="shared" si="47"/>
        <v>price?</v>
      </c>
      <c r="AI93" s="147" t="str">
        <f t="shared" si="48"/>
        <v>price?</v>
      </c>
      <c r="AJ93" s="236" t="str">
        <f t="shared" si="49"/>
        <v>price?</v>
      </c>
      <c r="AK93" s="297"/>
    </row>
    <row r="94" spans="2:37" ht="12.75">
      <c r="B94" s="555"/>
      <c r="C94" s="104" t="s">
        <v>238</v>
      </c>
      <c r="D94" s="98" t="s">
        <v>176</v>
      </c>
      <c r="E94" s="1">
        <v>25</v>
      </c>
      <c r="F94" s="504" t="s">
        <v>23</v>
      </c>
      <c r="G94" s="61">
        <f t="shared" si="38"/>
        <v>25</v>
      </c>
      <c r="H94" s="38">
        <f t="shared" si="39"/>
      </c>
      <c r="I94" s="40">
        <f t="shared" si="40"/>
        <v>25</v>
      </c>
      <c r="J94" s="19">
        <f t="shared" si="41"/>
        <v>12.5</v>
      </c>
      <c r="K94" s="20">
        <f t="shared" si="42"/>
        <v>6.25</v>
      </c>
      <c r="L94" s="21">
        <f t="shared" si="43"/>
      </c>
      <c r="M94" s="108" t="str">
        <f>'Goals, Inventory, Budget'!C94</f>
        <v>cheese, dehydrated</v>
      </c>
      <c r="N94" s="11" t="str">
        <f>'Goals, Inventory, Budget'!F94</f>
        <v>lbs</v>
      </c>
      <c r="O94" s="60">
        <f>'Goals, Inventory, Budget'!G94</f>
        <v>25</v>
      </c>
      <c r="P94" s="227">
        <f t="shared" si="44"/>
        <v>0</v>
      </c>
      <c r="Q94" s="137"/>
      <c r="R94" s="138"/>
      <c r="S94" s="30"/>
      <c r="T94" s="31"/>
      <c r="U94" s="139"/>
      <c r="V94" s="140">
        <f t="shared" si="45"/>
        <v>0</v>
      </c>
      <c r="W94" s="1"/>
      <c r="X94" s="136"/>
      <c r="Y94" s="141"/>
      <c r="Z94" s="506" t="str">
        <f>'Goals, Inventory, Budget'!C94</f>
        <v>cheese, dehydrated</v>
      </c>
      <c r="AA94" s="61">
        <f>'Goals, Inventory, Budget'!G94</f>
        <v>25</v>
      </c>
      <c r="AB94" s="11" t="str">
        <f>'Goals, Inventory, Budget'!F94</f>
        <v>lbs</v>
      </c>
      <c r="AC94" s="74"/>
      <c r="AD94" s="40">
        <f>'Goals, Inventory, Budget'!I94</f>
        <v>25</v>
      </c>
      <c r="AE94" s="19">
        <f>'Goals, Inventory, Budget'!J94</f>
        <v>12.5</v>
      </c>
      <c r="AF94" s="20">
        <f>'Goals, Inventory, Budget'!K94</f>
        <v>6.25</v>
      </c>
      <c r="AG94" s="146" t="str">
        <f t="shared" si="46"/>
        <v>price?</v>
      </c>
      <c r="AH94" s="147" t="str">
        <f t="shared" si="47"/>
        <v>price?</v>
      </c>
      <c r="AI94" s="147" t="str">
        <f t="shared" si="48"/>
        <v>price?</v>
      </c>
      <c r="AJ94" s="236" t="str">
        <f t="shared" si="49"/>
        <v>price?</v>
      </c>
      <c r="AK94" s="297"/>
    </row>
    <row r="95" spans="2:37" ht="12.75">
      <c r="B95" s="555"/>
      <c r="C95" s="104" t="s">
        <v>60</v>
      </c>
      <c r="D95" s="98" t="s">
        <v>177</v>
      </c>
      <c r="E95" s="1"/>
      <c r="F95" s="504" t="s">
        <v>23</v>
      </c>
      <c r="G95" s="61">
        <f t="shared" si="38"/>
      </c>
      <c r="H95" s="38">
        <f t="shared" si="39"/>
      </c>
      <c r="I95" s="40">
        <f t="shared" si="40"/>
      </c>
      <c r="J95" s="19">
        <f t="shared" si="41"/>
      </c>
      <c r="K95" s="20">
        <f t="shared" si="42"/>
      </c>
      <c r="L95" s="21">
        <f t="shared" si="43"/>
      </c>
      <c r="M95" s="108" t="str">
        <f>'Goals, Inventory, Budget'!C95</f>
        <v>buttermilk powder</v>
      </c>
      <c r="N95" s="11" t="str">
        <f>'Goals, Inventory, Budget'!F95</f>
        <v>lbs</v>
      </c>
      <c r="O95" s="60">
        <f>'Goals, Inventory, Budget'!G95</f>
      </c>
      <c r="P95" s="227">
        <f t="shared" si="44"/>
        <v>0</v>
      </c>
      <c r="Q95" s="137"/>
      <c r="R95" s="138"/>
      <c r="S95" s="30"/>
      <c r="T95" s="31"/>
      <c r="U95" s="139"/>
      <c r="V95" s="140">
        <f t="shared" si="45"/>
        <v>0</v>
      </c>
      <c r="W95" s="1"/>
      <c r="X95" s="136"/>
      <c r="Y95" s="141"/>
      <c r="Z95" s="506" t="str">
        <f>'Goals, Inventory, Budget'!C95</f>
        <v>buttermilk powder</v>
      </c>
      <c r="AA95" s="61">
        <f>'Goals, Inventory, Budget'!G95</f>
      </c>
      <c r="AB95" s="11" t="str">
        <f>'Goals, Inventory, Budget'!F95</f>
        <v>lbs</v>
      </c>
      <c r="AC95" s="74"/>
      <c r="AD95" s="40">
        <f>'Goals, Inventory, Budget'!I95</f>
      </c>
      <c r="AE95" s="19">
        <f>'Goals, Inventory, Budget'!J95</f>
      </c>
      <c r="AF95" s="20">
        <f>'Goals, Inventory, Budget'!K95</f>
      </c>
      <c r="AG95" s="146">
        <f t="shared" si="46"/>
      </c>
      <c r="AH95" s="147">
        <f t="shared" si="47"/>
      </c>
      <c r="AI95" s="147">
        <f t="shared" si="48"/>
      </c>
      <c r="AJ95" s="236">
        <f t="shared" si="49"/>
      </c>
      <c r="AK95" s="297"/>
    </row>
    <row r="96" spans="2:37" ht="12.75">
      <c r="B96" s="555"/>
      <c r="C96" s="168" t="s">
        <v>62</v>
      </c>
      <c r="D96" s="100" t="s">
        <v>177</v>
      </c>
      <c r="E96" s="2"/>
      <c r="F96" s="588" t="s">
        <v>23</v>
      </c>
      <c r="G96" s="62">
        <f>IF(E96=0,"",FamilyFactor*E96)</f>
      </c>
      <c r="H96" s="265">
        <f t="shared" si="39"/>
      </c>
      <c r="I96" s="40">
        <f t="shared" si="40"/>
      </c>
      <c r="J96" s="19">
        <f t="shared" si="41"/>
      </c>
      <c r="K96" s="20">
        <f t="shared" si="42"/>
      </c>
      <c r="L96" s="21">
        <f t="shared" si="43"/>
      </c>
      <c r="M96" s="108" t="str">
        <f>'Goals, Inventory, Budget'!C96</f>
        <v>non-dairy creamer</v>
      </c>
      <c r="N96" s="11" t="str">
        <f>'Goals, Inventory, Budget'!F96</f>
        <v>lbs</v>
      </c>
      <c r="O96" s="60">
        <f>'Goals, Inventory, Budget'!G96</f>
      </c>
      <c r="P96" s="227">
        <f t="shared" si="44"/>
        <v>0</v>
      </c>
      <c r="Q96" s="137"/>
      <c r="R96" s="138"/>
      <c r="S96" s="30"/>
      <c r="T96" s="31"/>
      <c r="U96" s="139"/>
      <c r="V96" s="140">
        <f t="shared" si="45"/>
        <v>0</v>
      </c>
      <c r="W96" s="1"/>
      <c r="X96" s="136"/>
      <c r="Y96" s="141"/>
      <c r="Z96" s="589" t="str">
        <f>'Goals, Inventory, Budget'!C96</f>
        <v>non-dairy creamer</v>
      </c>
      <c r="AA96" s="62">
        <f>'Goals, Inventory, Budget'!G96</f>
      </c>
      <c r="AB96" s="22" t="str">
        <f>'Goals, Inventory, Budget'!F96</f>
        <v>lbs</v>
      </c>
      <c r="AC96" s="81"/>
      <c r="AD96" s="40">
        <f>'Goals, Inventory, Budget'!I96</f>
      </c>
      <c r="AE96" s="19">
        <f>'Goals, Inventory, Budget'!J96</f>
      </c>
      <c r="AF96" s="20">
        <f>'Goals, Inventory, Budget'!K96</f>
      </c>
      <c r="AG96" s="146">
        <f t="shared" si="46"/>
      </c>
      <c r="AH96" s="147">
        <f t="shared" si="47"/>
      </c>
      <c r="AI96" s="147">
        <f t="shared" si="48"/>
      </c>
      <c r="AJ96" s="236">
        <f t="shared" si="49"/>
      </c>
      <c r="AK96" s="297"/>
    </row>
    <row r="97" spans="2:37" ht="12.75">
      <c r="B97" s="555"/>
      <c r="C97" s="168" t="s">
        <v>85</v>
      </c>
      <c r="D97" s="100" t="s">
        <v>24</v>
      </c>
      <c r="E97" s="2"/>
      <c r="F97" s="588" t="s">
        <v>23</v>
      </c>
      <c r="G97" s="62">
        <f>IF(E97=0,"",FamilyFactor*E97)</f>
      </c>
      <c r="H97" s="265">
        <f t="shared" si="39"/>
      </c>
      <c r="I97" s="40">
        <f t="shared" si="40"/>
      </c>
      <c r="J97" s="19">
        <f t="shared" si="41"/>
      </c>
      <c r="K97" s="20">
        <f t="shared" si="42"/>
      </c>
      <c r="L97" s="21">
        <f t="shared" si="43"/>
      </c>
      <c r="M97" s="108" t="str">
        <f>'Goals, Inventory, Budget'!C97</f>
        <v>Cocoa mix, Hot</v>
      </c>
      <c r="N97" s="11" t="str">
        <f>'Goals, Inventory, Budget'!F97</f>
        <v>lbs</v>
      </c>
      <c r="O97" s="60">
        <f>'Goals, Inventory, Budget'!G97</f>
      </c>
      <c r="P97" s="227">
        <f t="shared" si="44"/>
        <v>0</v>
      </c>
      <c r="Q97" s="137"/>
      <c r="R97" s="138"/>
      <c r="S97" s="30"/>
      <c r="T97" s="31"/>
      <c r="U97" s="139"/>
      <c r="V97" s="140">
        <f t="shared" si="45"/>
        <v>0</v>
      </c>
      <c r="W97" s="1"/>
      <c r="X97" s="136"/>
      <c r="Y97" s="141"/>
      <c r="Z97" s="589" t="str">
        <f>'Goals, Inventory, Budget'!C97</f>
        <v>Cocoa mix, Hot</v>
      </c>
      <c r="AA97" s="62">
        <f>'Goals, Inventory, Budget'!G97</f>
      </c>
      <c r="AB97" s="22" t="str">
        <f>'Goals, Inventory, Budget'!F97</f>
        <v>lbs</v>
      </c>
      <c r="AC97" s="81">
        <v>1.03</v>
      </c>
      <c r="AD97" s="40">
        <f>'Goals, Inventory, Budget'!I97</f>
      </c>
      <c r="AE97" s="19">
        <f>'Goals, Inventory, Budget'!J97</f>
      </c>
      <c r="AF97" s="20">
        <f>'Goals, Inventory, Budget'!K97</f>
      </c>
      <c r="AG97" s="146">
        <f t="shared" si="46"/>
      </c>
      <c r="AH97" s="147">
        <f t="shared" si="47"/>
      </c>
      <c r="AI97" s="147">
        <f t="shared" si="48"/>
      </c>
      <c r="AJ97" s="236">
        <f t="shared" si="49"/>
      </c>
      <c r="AK97" s="297"/>
    </row>
    <row r="98" spans="2:37" ht="13.5" thickBot="1">
      <c r="B98" s="555"/>
      <c r="C98" s="168" t="s">
        <v>61</v>
      </c>
      <c r="D98" s="100" t="s">
        <v>63</v>
      </c>
      <c r="E98" s="2"/>
      <c r="F98" s="588" t="s">
        <v>23</v>
      </c>
      <c r="G98" s="62">
        <f t="shared" si="38"/>
      </c>
      <c r="H98" s="265">
        <f t="shared" si="39"/>
      </c>
      <c r="I98" s="73">
        <f t="shared" si="40"/>
      </c>
      <c r="J98" s="56">
        <f t="shared" si="41"/>
      </c>
      <c r="K98" s="57">
        <f t="shared" si="42"/>
      </c>
      <c r="L98" s="21">
        <f t="shared" si="43"/>
      </c>
      <c r="M98" s="108" t="str">
        <f>'Goals, Inventory, Budget'!C98</f>
        <v>milk, aseptic packaging</v>
      </c>
      <c r="N98" s="11" t="str">
        <f>'Goals, Inventory, Budget'!F98</f>
        <v>lbs</v>
      </c>
      <c r="O98" s="60">
        <f>'Goals, Inventory, Budget'!G98</f>
      </c>
      <c r="P98" s="227">
        <f t="shared" si="44"/>
        <v>0</v>
      </c>
      <c r="Q98" s="137"/>
      <c r="R98" s="138"/>
      <c r="S98" s="30"/>
      <c r="T98" s="31"/>
      <c r="U98" s="139"/>
      <c r="V98" s="140">
        <f t="shared" si="45"/>
        <v>0</v>
      </c>
      <c r="W98" s="1"/>
      <c r="X98" s="136"/>
      <c r="Y98" s="141"/>
      <c r="Z98" s="589" t="str">
        <f>'Goals, Inventory, Budget'!C98</f>
        <v>milk, aseptic packaging</v>
      </c>
      <c r="AA98" s="62">
        <f>'Goals, Inventory, Budget'!G98</f>
      </c>
      <c r="AB98" s="22" t="str">
        <f>'Goals, Inventory, Budget'!F98</f>
        <v>lbs</v>
      </c>
      <c r="AC98" s="81"/>
      <c r="AD98" s="73">
        <f>'Goals, Inventory, Budget'!I98</f>
      </c>
      <c r="AE98" s="56">
        <f>'Goals, Inventory, Budget'!J98</f>
      </c>
      <c r="AF98" s="57">
        <f>'Goals, Inventory, Budget'!K98</f>
      </c>
      <c r="AG98" s="148">
        <f t="shared" si="46"/>
      </c>
      <c r="AH98" s="149">
        <f t="shared" si="47"/>
      </c>
      <c r="AI98" s="149">
        <f t="shared" si="48"/>
      </c>
      <c r="AJ98" s="250">
        <f t="shared" si="49"/>
      </c>
      <c r="AK98" s="296"/>
    </row>
    <row r="99" spans="2:37" ht="13.5" thickTop="1">
      <c r="B99" s="555"/>
      <c r="C99" s="517" t="s">
        <v>64</v>
      </c>
      <c r="D99" s="664"/>
      <c r="E99" s="122">
        <f>SUM(E92:E98)</f>
        <v>145</v>
      </c>
      <c r="F99" s="122" t="s">
        <v>23</v>
      </c>
      <c r="G99" s="59">
        <f>FamilyFactor*E99</f>
        <v>145</v>
      </c>
      <c r="H99" s="224">
        <f>P99</f>
        <v>0</v>
      </c>
      <c r="I99" s="41">
        <f aca="true" t="shared" si="50" ref="I99:I105">IF(G99="","",IF(H99="",G99-0,IF(G99&lt;H99,0,G99-H99)))</f>
        <v>145</v>
      </c>
      <c r="J99" s="52">
        <f>IF((G99/2-H99)&lt;=0,0,G99/2-H99)</f>
        <v>72.5</v>
      </c>
      <c r="K99" s="53">
        <f>IF((G99/4-H99)&lt;=0,0,G99/4-H99)</f>
        <v>36.25</v>
      </c>
      <c r="L99" s="27"/>
      <c r="M99" s="177" t="str">
        <f>'Goals, Inventory, Budget'!C99</f>
        <v>Total Dairy Products</v>
      </c>
      <c r="N99" s="126" t="str">
        <f>'Goals, Inventory, Budget'!F99</f>
        <v>lbs</v>
      </c>
      <c r="O99" s="59">
        <f>'Goals, Inventory, Budget'!G99</f>
        <v>145</v>
      </c>
      <c r="P99" s="224">
        <f>SUM(P92:P98)</f>
        <v>0</v>
      </c>
      <c r="Q99" s="591"/>
      <c r="R99" s="592"/>
      <c r="S99" s="593"/>
      <c r="T99" s="592"/>
      <c r="U99" s="593"/>
      <c r="V99" s="592"/>
      <c r="W99" s="594"/>
      <c r="X99" s="592"/>
      <c r="Y99" s="595"/>
      <c r="Z99" s="665" t="str">
        <f>'Goals, Inventory, Budget'!C99</f>
        <v>Total Dairy Products</v>
      </c>
      <c r="AA99" s="59">
        <f>'Goals, Inventory, Budget'!G99</f>
        <v>145</v>
      </c>
      <c r="AB99" s="126" t="str">
        <f>'Goals, Inventory, Budget'!F99</f>
        <v>lbs</v>
      </c>
      <c r="AC99" s="84"/>
      <c r="AD99" s="41">
        <f>'Goals, Inventory, Budget'!I99</f>
        <v>145</v>
      </c>
      <c r="AE99" s="52">
        <f>'Goals, Inventory, Budget'!J99</f>
        <v>72.5</v>
      </c>
      <c r="AF99" s="53">
        <f>'Goals, Inventory, Budget'!K99</f>
        <v>36.25</v>
      </c>
      <c r="AG99" s="144">
        <f>SUM(AG92:AG93)</f>
        <v>129</v>
      </c>
      <c r="AH99" s="145">
        <f>SUM(AH92:AH98)</f>
        <v>64.5</v>
      </c>
      <c r="AI99" s="233">
        <f>SUM(AI92:AI98)</f>
        <v>32.25</v>
      </c>
      <c r="AJ99" s="249">
        <f>SUM(AJ92:AJ98)</f>
        <v>10.75</v>
      </c>
      <c r="AK99" s="654"/>
    </row>
    <row r="100" spans="2:37" ht="12.75">
      <c r="B100" s="555"/>
      <c r="C100" s="498" t="s">
        <v>167</v>
      </c>
      <c r="D100" s="572"/>
      <c r="E100" s="572"/>
      <c r="F100" s="572"/>
      <c r="G100" s="572"/>
      <c r="H100" s="572"/>
      <c r="I100" s="572"/>
      <c r="J100" s="572"/>
      <c r="K100" s="617"/>
      <c r="L100" s="97"/>
      <c r="M100" s="302" t="str">
        <f>'Goals, Inventory, Budget'!C100</f>
        <v>Eggs, powdered (25 dozen minimum)</v>
      </c>
      <c r="N100" s="303">
        <f>'Goals, Inventory, Budget'!F100</f>
        <v>0</v>
      </c>
      <c r="O100" s="303">
        <f>'Goals, Inventory, Budget'!G100</f>
        <v>0</v>
      </c>
      <c r="P100" s="303">
        <f>'Goals, Inventory, Budget'!H100</f>
        <v>0</v>
      </c>
      <c r="Q100" s="303">
        <f>'Goals, Inventory, Budget'!I100</f>
        <v>0</v>
      </c>
      <c r="R100" s="303">
        <f>'Goals, Inventory, Budget'!J100</f>
        <v>0</v>
      </c>
      <c r="S100" s="303">
        <f>'Goals, Inventory, Budget'!K100</f>
        <v>0</v>
      </c>
      <c r="T100" s="114"/>
      <c r="U100" s="113"/>
      <c r="V100" s="114"/>
      <c r="W100" s="115"/>
      <c r="X100" s="114"/>
      <c r="Y100" s="121"/>
      <c r="Z100" s="308" t="str">
        <f>'Goals, Inventory, Budget'!C100</f>
        <v>Eggs, powdered (25 dozen minimum)</v>
      </c>
      <c r="AA100" s="309"/>
      <c r="AB100" s="309"/>
      <c r="AC100" s="309"/>
      <c r="AD100" s="606"/>
      <c r="AE100" s="606"/>
      <c r="AF100" s="600"/>
      <c r="AG100" s="601"/>
      <c r="AH100" s="601"/>
      <c r="AI100" s="601"/>
      <c r="AJ100" s="607"/>
      <c r="AK100" s="603"/>
    </row>
    <row r="101" spans="2:37" ht="25.5">
      <c r="B101" s="555"/>
      <c r="C101" s="104" t="s">
        <v>79</v>
      </c>
      <c r="D101" s="98" t="s">
        <v>176</v>
      </c>
      <c r="E101" s="1">
        <v>25</v>
      </c>
      <c r="F101" s="504" t="s">
        <v>65</v>
      </c>
      <c r="G101" s="68">
        <f>FamilyFactor*E101</f>
        <v>25</v>
      </c>
      <c r="H101" s="226">
        <f>P101</f>
        <v>0</v>
      </c>
      <c r="I101" s="42">
        <f t="shared" si="50"/>
        <v>25</v>
      </c>
      <c r="J101" s="50">
        <f>IF((G101/2-H101)&lt;=0,0,G101/2-H101)</f>
        <v>12.5</v>
      </c>
      <c r="K101" s="51">
        <f>IF((G101/4-H101)&lt;=0,0,G101/4-H101)</f>
        <v>6.25</v>
      </c>
      <c r="L101" s="21"/>
      <c r="M101" s="131" t="str">
        <f>'Goals, Inventory, Budget'!C101</f>
        <v>Eggs, dehydrated/freeze-dried (3.6 oz/dz)</v>
      </c>
      <c r="N101" s="130" t="str">
        <f>'Goals, Inventory, Budget'!F101</f>
        <v>dz</v>
      </c>
      <c r="O101" s="68">
        <f>'Goals, Inventory, Budget'!G101</f>
        <v>25</v>
      </c>
      <c r="P101" s="226">
        <f>Q101*R101+S101*T101+U101*V101+X101*Y101</f>
        <v>0</v>
      </c>
      <c r="Q101" s="137"/>
      <c r="R101" s="138"/>
      <c r="S101" s="30"/>
      <c r="T101" s="31"/>
      <c r="U101" s="139"/>
      <c r="V101" s="140">
        <f>IF(R101=0,0,R101*5/0.75)</f>
        <v>0</v>
      </c>
      <c r="W101" s="1"/>
      <c r="X101" s="136"/>
      <c r="Y101" s="141"/>
      <c r="Z101" s="579" t="str">
        <f>'Goals, Inventory, Budget'!C101</f>
        <v>Eggs, dehydrated/freeze-dried (3.6 oz/dz)</v>
      </c>
      <c r="AA101" s="68">
        <f>'Goals, Inventory, Budget'!G101</f>
        <v>25</v>
      </c>
      <c r="AB101" s="130" t="str">
        <f>'Goals, Inventory, Budget'!F101</f>
        <v>dz</v>
      </c>
      <c r="AC101" s="88"/>
      <c r="AD101" s="42">
        <f>'Goals, Inventory, Budget'!I101</f>
        <v>25</v>
      </c>
      <c r="AE101" s="50">
        <f>'Goals, Inventory, Budget'!J101</f>
        <v>12.5</v>
      </c>
      <c r="AF101" s="51">
        <f>'Goals, Inventory, Budget'!K101</f>
        <v>6.25</v>
      </c>
      <c r="AG101" s="142">
        <f>IF(AA101="","",IF(AC101=0,0,AD101*AC101))</f>
        <v>0</v>
      </c>
      <c r="AH101" s="143">
        <f>IF(AA101="","",IF(AC101=0,0,AE101*AC101))</f>
        <v>0</v>
      </c>
      <c r="AI101" s="143">
        <f>IF(AA101="","",IF(AC101=0,0,AF101*AC101))</f>
        <v>0</v>
      </c>
      <c r="AJ101" s="235">
        <f>IF(AA101="","",IF(AC101=0,0,IF(AD101=0,0,AA101*AC101/12)))</f>
        <v>0</v>
      </c>
      <c r="AK101" s="297"/>
    </row>
    <row r="102" spans="2:37" ht="12.75">
      <c r="B102" s="555"/>
      <c r="C102" s="498" t="s">
        <v>80</v>
      </c>
      <c r="D102" s="572"/>
      <c r="E102" s="572"/>
      <c r="F102" s="572"/>
      <c r="G102" s="572"/>
      <c r="H102" s="572"/>
      <c r="I102" s="572"/>
      <c r="J102" s="572"/>
      <c r="K102" s="617"/>
      <c r="L102" s="97"/>
      <c r="M102" s="302" t="str">
        <f>'Goals, Inventory, Budget'!C102</f>
        <v>Milk, Canned (select 24 cans minimum)</v>
      </c>
      <c r="N102" s="303">
        <f>'Goals, Inventory, Budget'!F102</f>
        <v>0</v>
      </c>
      <c r="O102" s="303">
        <f>'Goals, Inventory, Budget'!G102</f>
        <v>0</v>
      </c>
      <c r="P102" s="303">
        <f>'Goals, Inventory, Budget'!H102</f>
        <v>0</v>
      </c>
      <c r="Q102" s="303">
        <f>'Goals, Inventory, Budget'!I102</f>
        <v>0</v>
      </c>
      <c r="R102" s="303">
        <f>'Goals, Inventory, Budget'!J102</f>
        <v>0</v>
      </c>
      <c r="S102" s="303">
        <f>'Goals, Inventory, Budget'!K102</f>
        <v>0</v>
      </c>
      <c r="T102" s="666"/>
      <c r="U102" s="667"/>
      <c r="V102" s="666"/>
      <c r="W102" s="668"/>
      <c r="X102" s="666"/>
      <c r="Y102" s="669"/>
      <c r="Z102" s="308" t="str">
        <f>'Goals, Inventory, Budget'!C102</f>
        <v>Milk, Canned (select 24 cans minimum)</v>
      </c>
      <c r="AA102" s="309"/>
      <c r="AB102" s="309"/>
      <c r="AC102" s="309"/>
      <c r="AD102" s="606"/>
      <c r="AE102" s="606"/>
      <c r="AF102" s="600"/>
      <c r="AG102" s="601"/>
      <c r="AH102" s="601"/>
      <c r="AI102" s="601"/>
      <c r="AJ102" s="607"/>
      <c r="AK102" s="704"/>
    </row>
    <row r="103" spans="2:37" ht="25.5">
      <c r="B103" s="555"/>
      <c r="C103" s="104" t="s">
        <v>218</v>
      </c>
      <c r="D103" s="98" t="s">
        <v>182</v>
      </c>
      <c r="E103" s="1">
        <v>6</v>
      </c>
      <c r="F103" s="504" t="s">
        <v>66</v>
      </c>
      <c r="G103" s="61">
        <f>IF(E103=0,"",FamilyFactor*E103)</f>
        <v>6</v>
      </c>
      <c r="H103" s="38">
        <f>IF(P103=0,"",P103)</f>
      </c>
      <c r="I103" s="40">
        <f t="shared" si="50"/>
        <v>6</v>
      </c>
      <c r="J103" s="19">
        <f>IF(G103="","",IF(H103="",G103/2-0,IF((G103/2-H103)&lt;=0,0,G103/2-H103)))</f>
        <v>3</v>
      </c>
      <c r="K103" s="20">
        <f>IF(G103="","",IF(H103="",G103/4-0,IF((G103/4-H103)&lt;=0,0,G103/4-H103)))</f>
        <v>1.5</v>
      </c>
      <c r="L103" s="21">
        <f>IF(H103="","",IF(D103="indefinite",0,IF(D103="varies","varies",H103/D103)))</f>
      </c>
      <c r="M103" s="108" t="str">
        <f>'Goals, Inventory, Budget'!C103</f>
        <v>evaporated milk (about 0.75 lb per 12 fluid oz can) </v>
      </c>
      <c r="N103" s="11" t="str">
        <f>'Goals, Inventory, Budget'!F103</f>
        <v>cans</v>
      </c>
      <c r="O103" s="60">
        <f>'Goals, Inventory, Budget'!G103</f>
        <v>6</v>
      </c>
      <c r="P103" s="227">
        <f>Q103*R103+S103*T103+U103*V103+X103*Y103</f>
        <v>0</v>
      </c>
      <c r="Q103" s="137"/>
      <c r="R103" s="138"/>
      <c r="S103" s="30"/>
      <c r="T103" s="31"/>
      <c r="U103" s="139"/>
      <c r="V103" s="140">
        <f>IF(R103=0,0,R103*5/0.75)</f>
        <v>0</v>
      </c>
      <c r="W103" s="1"/>
      <c r="X103" s="136"/>
      <c r="Y103" s="141"/>
      <c r="Z103" s="172" t="str">
        <f>'Goals, Inventory, Budget'!C103</f>
        <v>evaporated milk (about 0.75 lb per 12 fluid oz can) </v>
      </c>
      <c r="AA103" s="61">
        <f>'Goals, Inventory, Budget'!G103</f>
        <v>6</v>
      </c>
      <c r="AB103" s="11" t="str">
        <f>'Goals, Inventory, Budget'!F103</f>
        <v>cans</v>
      </c>
      <c r="AC103" s="74"/>
      <c r="AD103" s="40">
        <f>'Goals, Inventory, Budget'!I103</f>
        <v>6</v>
      </c>
      <c r="AE103" s="19">
        <f>'Goals, Inventory, Budget'!J103</f>
        <v>3</v>
      </c>
      <c r="AF103" s="20">
        <f>'Goals, Inventory, Budget'!K103</f>
        <v>1.5</v>
      </c>
      <c r="AG103" s="146" t="str">
        <f>IF(AA103="","",IF(AC103=0,"price?",AD103*AC103))</f>
        <v>price?</v>
      </c>
      <c r="AH103" s="147" t="str">
        <f>IF(AA103="","",IF(AC103=0,"price?",AE103*AC103))</f>
        <v>price?</v>
      </c>
      <c r="AI103" s="147" t="str">
        <f>IF(AA103="","",IF(AC103=0,"price?",AF103*AC103))</f>
        <v>price?</v>
      </c>
      <c r="AJ103" s="236" t="str">
        <f>IF(AA103="","",IF(AC103=0,"price?",IF(AD103=0,0,AA103*AC103/12)))</f>
        <v>price?</v>
      </c>
      <c r="AK103" s="703"/>
    </row>
    <row r="104" spans="2:37" ht="26.25" thickBot="1">
      <c r="B104" s="555"/>
      <c r="C104" s="104" t="s">
        <v>219</v>
      </c>
      <c r="D104" s="98" t="s">
        <v>177</v>
      </c>
      <c r="E104" s="1">
        <v>12</v>
      </c>
      <c r="F104" s="504" t="s">
        <v>66</v>
      </c>
      <c r="G104" s="61">
        <f>IF(E104=0,"",FamilyFactor*E104)</f>
        <v>12</v>
      </c>
      <c r="H104" s="38">
        <f>IF(P104=0,"",P104)</f>
      </c>
      <c r="I104" s="73">
        <f t="shared" si="50"/>
        <v>12</v>
      </c>
      <c r="J104" s="56">
        <f>IF(G104="","",IF(H104="",G104/2-0,IF((G104/2-H104)&lt;=0,0,G104/2-H104)))</f>
        <v>6</v>
      </c>
      <c r="K104" s="57">
        <f>IF(G104="","",IF(H104="",G104/4-0,IF((G104/4-H104)&lt;=0,0,G104/4-H104)))</f>
        <v>3</v>
      </c>
      <c r="L104" s="25">
        <f>IF(H104="","",IF(D104="indefinite",0,IF(D104="varies","varies",H104/D104)))</f>
      </c>
      <c r="M104" s="108" t="str">
        <f>'Goals, Inventory, Budget'!C104</f>
        <v>condensed, sweetened (about 0.75 lb per 14 oz weight can)</v>
      </c>
      <c r="N104" s="11" t="str">
        <f>'Goals, Inventory, Budget'!F104</f>
        <v>cans</v>
      </c>
      <c r="O104" s="60">
        <f>'Goals, Inventory, Budget'!G104</f>
        <v>12</v>
      </c>
      <c r="P104" s="227">
        <f>Q104*R104+S104*T104+U104*V104+X104*Y104</f>
        <v>0</v>
      </c>
      <c r="Q104" s="137"/>
      <c r="R104" s="138"/>
      <c r="S104" s="30"/>
      <c r="T104" s="31"/>
      <c r="U104" s="139"/>
      <c r="V104" s="140">
        <f>IF(R104=0,0,R104*5/0.75)</f>
        <v>0</v>
      </c>
      <c r="W104" s="1"/>
      <c r="X104" s="136"/>
      <c r="Y104" s="141"/>
      <c r="Z104" s="172" t="str">
        <f>'Goals, Inventory, Budget'!C104</f>
        <v>condensed, sweetened (about 0.75 lb per 14 oz weight can)</v>
      </c>
      <c r="AA104" s="61">
        <f>'Goals, Inventory, Budget'!G104</f>
        <v>12</v>
      </c>
      <c r="AB104" s="11" t="str">
        <f>'Goals, Inventory, Budget'!F104</f>
        <v>cans</v>
      </c>
      <c r="AC104" s="74"/>
      <c r="AD104" s="73">
        <f>'Goals, Inventory, Budget'!I104</f>
        <v>12</v>
      </c>
      <c r="AE104" s="56">
        <f>'Goals, Inventory, Budget'!J104</f>
        <v>6</v>
      </c>
      <c r="AF104" s="57">
        <f>'Goals, Inventory, Budget'!K104</f>
        <v>3</v>
      </c>
      <c r="AG104" s="148" t="str">
        <f>IF(AA104="","",IF(AC104=0,"price?",AD104*AC104))</f>
        <v>price?</v>
      </c>
      <c r="AH104" s="149" t="str">
        <f>IF(AA104="","",IF(AC104=0,"price?",AE104*AC104))</f>
        <v>price?</v>
      </c>
      <c r="AI104" s="149" t="str">
        <f>IF(AA104="","",IF(AC104=0,"price?",AF104*AC104))</f>
        <v>price?</v>
      </c>
      <c r="AJ104" s="250" t="str">
        <f>IF(AA104="","",IF(AC104=0,"price?",IF(AD104=0,0,AA104*AC104/12)))</f>
        <v>price?</v>
      </c>
      <c r="AK104" s="296"/>
    </row>
    <row r="105" spans="2:37" ht="13.5" thickTop="1">
      <c r="B105" s="555"/>
      <c r="C105" s="517" t="s">
        <v>67</v>
      </c>
      <c r="D105" s="664"/>
      <c r="E105" s="122">
        <f>E103+E104</f>
        <v>18</v>
      </c>
      <c r="F105" s="670" t="s">
        <v>66</v>
      </c>
      <c r="G105" s="59">
        <f>FamilyFactor*E105</f>
        <v>18</v>
      </c>
      <c r="H105" s="224">
        <f>P105</f>
        <v>0</v>
      </c>
      <c r="I105" s="41">
        <f t="shared" si="50"/>
        <v>18</v>
      </c>
      <c r="J105" s="52">
        <f>IF((G105/2-H105)&lt;=0,0,G105/2-H105)</f>
        <v>9</v>
      </c>
      <c r="K105" s="53">
        <f>IF((G105/4-H105)&lt;=0,0,G105/4-H105)</f>
        <v>4.5</v>
      </c>
      <c r="M105" s="177" t="str">
        <f>'Goals, Inventory, Budget'!C105</f>
        <v>Total Canned Milk</v>
      </c>
      <c r="N105" s="126" t="str">
        <f>'Goals, Inventory, Budget'!F105</f>
        <v>cans</v>
      </c>
      <c r="O105" s="59">
        <f>'Goals, Inventory, Budget'!G105</f>
        <v>18</v>
      </c>
      <c r="P105" s="224">
        <f>SUM(P103:P104)</f>
        <v>0</v>
      </c>
      <c r="Q105" s="591"/>
      <c r="R105" s="592"/>
      <c r="S105" s="593"/>
      <c r="T105" s="592"/>
      <c r="U105" s="593"/>
      <c r="V105" s="592"/>
      <c r="W105" s="594"/>
      <c r="X105" s="592"/>
      <c r="Y105" s="595"/>
      <c r="Z105" s="665" t="str">
        <f>'Goals, Inventory, Budget'!C105</f>
        <v>Total Canned Milk</v>
      </c>
      <c r="AA105" s="59">
        <f>'Goals, Inventory, Budget'!G105</f>
        <v>18</v>
      </c>
      <c r="AB105" s="126" t="str">
        <f>'Goals, Inventory, Budget'!F105</f>
        <v>cans</v>
      </c>
      <c r="AC105" s="84"/>
      <c r="AD105" s="41">
        <f>'Goals, Inventory, Budget'!I105</f>
        <v>18</v>
      </c>
      <c r="AE105" s="52">
        <f>'Goals, Inventory, Budget'!J105</f>
        <v>9</v>
      </c>
      <c r="AF105" s="53">
        <f>'Goals, Inventory, Budget'!K105</f>
        <v>4.5</v>
      </c>
      <c r="AG105" s="157">
        <f>SUM(AG103:AG104)</f>
        <v>0</v>
      </c>
      <c r="AH105" s="157">
        <f>SUM(AH103:AH104)</f>
        <v>0</v>
      </c>
      <c r="AI105" s="251">
        <f>SUM(AI103:AI104)</f>
        <v>0</v>
      </c>
      <c r="AJ105" s="253">
        <f>SUM(AJ103:AJ104)</f>
        <v>0</v>
      </c>
      <c r="AK105" s="654"/>
    </row>
    <row r="106" spans="2:37" ht="13.5" thickBot="1">
      <c r="B106" s="555"/>
      <c r="C106" s="498" t="s">
        <v>94</v>
      </c>
      <c r="D106" s="572"/>
      <c r="E106" s="572"/>
      <c r="F106" s="572"/>
      <c r="G106" s="572"/>
      <c r="H106" s="572"/>
      <c r="I106" s="572"/>
      <c r="J106" s="572"/>
      <c r="K106" s="617"/>
      <c r="M106" s="302" t="str">
        <f>'Goals, Inventory, Budget'!C106</f>
        <v>Cheese making items </v>
      </c>
      <c r="N106" s="303">
        <f>'Goals, Inventory, Budget'!F106</f>
        <v>0</v>
      </c>
      <c r="O106" s="303">
        <f>'Goals, Inventory, Budget'!G106</f>
        <v>0</v>
      </c>
      <c r="P106" s="303">
        <f>'Goals, Inventory, Budget'!H106</f>
        <v>0</v>
      </c>
      <c r="Q106" s="303">
        <f>'Goals, Inventory, Budget'!I106</f>
        <v>0</v>
      </c>
      <c r="R106" s="303">
        <f>'Goals, Inventory, Budget'!J106</f>
        <v>0</v>
      </c>
      <c r="S106" s="303">
        <f>'Goals, Inventory, Budget'!K106</f>
        <v>0</v>
      </c>
      <c r="T106" s="671"/>
      <c r="U106" s="672"/>
      <c r="V106" s="671"/>
      <c r="W106" s="673"/>
      <c r="X106" s="671"/>
      <c r="Y106" s="674"/>
      <c r="Z106" s="308" t="str">
        <f>'Goals, Inventory, Budget'!C106</f>
        <v>Cheese making items </v>
      </c>
      <c r="AA106" s="309"/>
      <c r="AB106" s="309"/>
      <c r="AC106" s="309"/>
      <c r="AD106" s="606"/>
      <c r="AE106" s="606"/>
      <c r="AF106" s="600"/>
      <c r="AG106" s="601"/>
      <c r="AH106" s="601"/>
      <c r="AI106" s="601"/>
      <c r="AJ106" s="607"/>
      <c r="AK106" s="603"/>
    </row>
    <row r="107" spans="2:37" ht="13.5" thickTop="1">
      <c r="B107" s="555"/>
      <c r="C107" s="104" t="s">
        <v>69</v>
      </c>
      <c r="D107" s="98" t="s">
        <v>18</v>
      </c>
      <c r="E107" s="1">
        <v>1</v>
      </c>
      <c r="F107" s="504" t="s">
        <v>77</v>
      </c>
      <c r="G107" s="61">
        <f>E107</f>
        <v>1</v>
      </c>
      <c r="H107" s="38">
        <f>IF(P107=0,"",P107)</f>
      </c>
      <c r="I107" s="12"/>
      <c r="J107" s="13"/>
      <c r="K107" s="14"/>
      <c r="M107" s="172" t="str">
        <f>'Goals, Inventory, Budget'!C107</f>
        <v>cheese press</v>
      </c>
      <c r="N107" s="11" t="str">
        <f>'Goals, Inventory, Budget'!F107</f>
        <v>1/family</v>
      </c>
      <c r="O107" s="61">
        <f>'Goals, Inventory, Budget'!G107</f>
        <v>1</v>
      </c>
      <c r="P107" s="505"/>
      <c r="Q107" s="12"/>
      <c r="R107" s="622"/>
      <c r="S107" s="257"/>
      <c r="Z107" s="506" t="str">
        <f>'Goals, Inventory, Budget'!C107</f>
        <v>cheese press</v>
      </c>
      <c r="AA107" s="61">
        <f>'Goals, Inventory, Budget'!G107</f>
        <v>1</v>
      </c>
      <c r="AB107" s="11" t="str">
        <f>'Goals, Inventory, Budget'!F107</f>
        <v>1/family</v>
      </c>
      <c r="AC107" s="74"/>
      <c r="AD107" s="12"/>
      <c r="AE107" s="13"/>
      <c r="AF107" s="14"/>
      <c r="AG107" s="151">
        <f>AC107*AA107</f>
        <v>0</v>
      </c>
      <c r="AH107" s="77"/>
      <c r="AI107" s="77"/>
      <c r="AJ107" s="79"/>
      <c r="AK107" s="297"/>
    </row>
    <row r="108" spans="2:37" ht="12.75">
      <c r="B108" s="555"/>
      <c r="C108" s="168" t="s">
        <v>70</v>
      </c>
      <c r="D108" s="100" t="s">
        <v>18</v>
      </c>
      <c r="E108" s="2">
        <v>1</v>
      </c>
      <c r="F108" s="588" t="s">
        <v>77</v>
      </c>
      <c r="G108" s="62">
        <f>E108</f>
        <v>1</v>
      </c>
      <c r="H108" s="265">
        <f>IF(P108=0,"",P108)</f>
      </c>
      <c r="I108" s="15"/>
      <c r="J108" s="16"/>
      <c r="K108" s="17"/>
      <c r="M108" s="176" t="str">
        <f>'Goals, Inventory, Budget'!C108</f>
        <v>cooking thermometer</v>
      </c>
      <c r="N108" s="22" t="str">
        <f>'Goals, Inventory, Budget'!F108</f>
        <v>1/family</v>
      </c>
      <c r="O108" s="62">
        <f>'Goals, Inventory, Budget'!G108</f>
        <v>1</v>
      </c>
      <c r="P108" s="512"/>
      <c r="Q108" s="15"/>
      <c r="R108" s="540"/>
      <c r="S108" s="258"/>
      <c r="Z108" s="589" t="str">
        <f>'Goals, Inventory, Budget'!C108</f>
        <v>cooking thermometer</v>
      </c>
      <c r="AA108" s="62">
        <f>'Goals, Inventory, Budget'!G108</f>
        <v>1</v>
      </c>
      <c r="AB108" s="22" t="str">
        <f>'Goals, Inventory, Budget'!F108</f>
        <v>1/family</v>
      </c>
      <c r="AC108" s="81"/>
      <c r="AD108" s="15"/>
      <c r="AE108" s="16"/>
      <c r="AF108" s="17"/>
      <c r="AG108" s="151">
        <f>AC108*AA108</f>
        <v>0</v>
      </c>
      <c r="AH108" s="78"/>
      <c r="AI108" s="78"/>
      <c r="AJ108" s="80"/>
      <c r="AK108" s="297"/>
    </row>
    <row r="109" spans="2:37" ht="12.75">
      <c r="B109" s="555"/>
      <c r="C109" s="168" t="s">
        <v>71</v>
      </c>
      <c r="D109" s="100" t="s">
        <v>18</v>
      </c>
      <c r="E109" s="2"/>
      <c r="F109" s="588" t="s">
        <v>74</v>
      </c>
      <c r="G109" s="62">
        <f>IF(E109=0,"",FamilyFactor*E109)</f>
      </c>
      <c r="H109" s="265">
        <f>IF(P109=0,"",P109)</f>
      </c>
      <c r="I109" s="15"/>
      <c r="J109" s="16"/>
      <c r="K109" s="17"/>
      <c r="M109" s="176" t="str">
        <f>'Goals, Inventory, Budget'!C109</f>
        <v>cheese cloth</v>
      </c>
      <c r="N109" s="22" t="str">
        <f>'Goals, Inventory, Budget'!F109</f>
        <v>yard</v>
      </c>
      <c r="O109" s="62">
        <f>'Goals, Inventory, Budget'!G109</f>
      </c>
      <c r="P109" s="512"/>
      <c r="Q109" s="15"/>
      <c r="R109" s="540"/>
      <c r="S109" s="258"/>
      <c r="Z109" s="589" t="str">
        <f>'Goals, Inventory, Budget'!C109</f>
        <v>cheese cloth</v>
      </c>
      <c r="AA109" s="62">
        <f>'Goals, Inventory, Budget'!G109</f>
      </c>
      <c r="AB109" s="22" t="str">
        <f>'Goals, Inventory, Budget'!F109</f>
        <v>yard</v>
      </c>
      <c r="AC109" s="81"/>
      <c r="AD109" s="15"/>
      <c r="AE109" s="16"/>
      <c r="AF109" s="17"/>
      <c r="AG109" s="151">
        <f>IF(AC109=0,0,AC109*AA109)</f>
        <v>0</v>
      </c>
      <c r="AH109" s="78"/>
      <c r="AI109" s="78"/>
      <c r="AJ109" s="80"/>
      <c r="AK109" s="297"/>
    </row>
    <row r="110" spans="2:37" ht="12.75">
      <c r="B110" s="555"/>
      <c r="C110" s="168" t="s">
        <v>72</v>
      </c>
      <c r="D110" s="100" t="s">
        <v>18</v>
      </c>
      <c r="E110" s="2"/>
      <c r="F110" s="588" t="s">
        <v>73</v>
      </c>
      <c r="G110" s="62">
        <f>IF(E110=0,"",FamilyFactor*E110)</f>
      </c>
      <c r="H110" s="265">
        <f>IF(P110=0,"",P110)</f>
      </c>
      <c r="I110" s="15"/>
      <c r="J110" s="16"/>
      <c r="K110" s="17"/>
      <c r="M110" s="176" t="str">
        <f>'Goals, Inventory, Budget'!C110</f>
        <v>Rennet/ Junket tablets</v>
      </c>
      <c r="N110" s="22" t="str">
        <f>'Goals, Inventory, Budget'!F110</f>
        <v>tablets</v>
      </c>
      <c r="O110" s="62">
        <f>'Goals, Inventory, Budget'!G110</f>
      </c>
      <c r="P110" s="512"/>
      <c r="Q110" s="15"/>
      <c r="R110" s="540"/>
      <c r="S110" s="259"/>
      <c r="Z110" s="589" t="str">
        <f>'Goals, Inventory, Budget'!C110</f>
        <v>Rennet/ Junket tablets</v>
      </c>
      <c r="AA110" s="62">
        <f>'Goals, Inventory, Budget'!G110</f>
      </c>
      <c r="AB110" s="22" t="str">
        <f>'Goals, Inventory, Budget'!F110</f>
        <v>tablets</v>
      </c>
      <c r="AC110" s="81"/>
      <c r="AD110" s="15"/>
      <c r="AE110" s="16"/>
      <c r="AF110" s="17"/>
      <c r="AG110" s="151">
        <f>IF(AC110=0,0,AC110*AA110)</f>
        <v>0</v>
      </c>
      <c r="AH110" s="78"/>
      <c r="AI110" s="78"/>
      <c r="AJ110" s="80"/>
      <c r="AK110" s="297"/>
    </row>
    <row r="111" spans="2:37" ht="12.75">
      <c r="B111" s="555"/>
      <c r="C111" s="498" t="s">
        <v>68</v>
      </c>
      <c r="D111" s="572"/>
      <c r="E111" s="572"/>
      <c r="F111" s="572"/>
      <c r="G111" s="572"/>
      <c r="H111" s="572"/>
      <c r="I111" s="572"/>
      <c r="J111" s="572"/>
      <c r="K111" s="617"/>
      <c r="M111" s="302" t="str">
        <f>'Goals, Inventory, Budget'!C111</f>
        <v>Yogurt making items</v>
      </c>
      <c r="N111" s="303">
        <f>'Goals, Inventory, Budget'!F111</f>
        <v>0</v>
      </c>
      <c r="O111" s="303">
        <f>'Goals, Inventory, Budget'!G111</f>
        <v>0</v>
      </c>
      <c r="P111" s="303">
        <f>'Goals, Inventory, Budget'!H111</f>
        <v>0</v>
      </c>
      <c r="Q111" s="303">
        <f>'Goals, Inventory, Budget'!I111</f>
        <v>0</v>
      </c>
      <c r="R111" s="303">
        <f>'Goals, Inventory, Budget'!J111</f>
        <v>0</v>
      </c>
      <c r="S111" s="307">
        <f>'Goals, Inventory, Budget'!K111</f>
        <v>0</v>
      </c>
      <c r="T111" s="288"/>
      <c r="U111" s="288"/>
      <c r="V111" s="288"/>
      <c r="W111" s="288"/>
      <c r="X111" s="288"/>
      <c r="Y111" s="288"/>
      <c r="Z111" s="308" t="str">
        <f>'Goals, Inventory, Budget'!C111</f>
        <v>Yogurt making items</v>
      </c>
      <c r="AA111" s="309"/>
      <c r="AB111" s="309"/>
      <c r="AC111" s="309"/>
      <c r="AD111" s="606"/>
      <c r="AE111" s="606"/>
      <c r="AF111" s="600"/>
      <c r="AG111" s="601"/>
      <c r="AH111" s="601"/>
      <c r="AI111" s="601"/>
      <c r="AJ111" s="607"/>
      <c r="AK111" s="291"/>
    </row>
    <row r="112" spans="2:37" ht="12.75">
      <c r="B112" s="555"/>
      <c r="C112" s="9" t="s">
        <v>75</v>
      </c>
      <c r="D112" s="101" t="s">
        <v>183</v>
      </c>
      <c r="E112" s="3"/>
      <c r="F112" s="610" t="s">
        <v>78</v>
      </c>
      <c r="G112" s="62">
        <f>IF(E112=0,"",FamilyFactor*E112)</f>
      </c>
      <c r="H112" s="266">
        <f>IF(P112=0,"",P112)</f>
      </c>
      <c r="I112" s="12"/>
      <c r="J112" s="13"/>
      <c r="K112" s="14"/>
      <c r="L112" s="197">
        <f>IF(H112="","",IF(D112="indefinite",0,IF(D112="varies","varies",H112/D112)))</f>
      </c>
      <c r="M112" s="132" t="str">
        <f>'Goals, Inventory, Budget'!C112</f>
        <v>yogurt starter</v>
      </c>
      <c r="N112" s="23" t="str">
        <f>'Goals, Inventory, Budget'!F112</f>
        <v>Tbsp</v>
      </c>
      <c r="O112" s="61">
        <f>'Goals, Inventory, Budget'!G112</f>
      </c>
      <c r="P112" s="675"/>
      <c r="Q112" s="12"/>
      <c r="R112" s="622"/>
      <c r="S112" s="257"/>
      <c r="Z112" s="611" t="str">
        <f>'Goals, Inventory, Budget'!C112</f>
        <v>yogurt starter</v>
      </c>
      <c r="AA112" s="61">
        <f>'Goals, Inventory, Budget'!G112</f>
      </c>
      <c r="AB112" s="23" t="str">
        <f>'Goals, Inventory, Budget'!F112</f>
        <v>Tbsp</v>
      </c>
      <c r="AC112" s="82"/>
      <c r="AD112" s="12"/>
      <c r="AE112" s="13"/>
      <c r="AF112" s="14"/>
      <c r="AG112" s="151">
        <f>IF(AC112=0,0,AC112*AA112)</f>
        <v>0</v>
      </c>
      <c r="AH112" s="77"/>
      <c r="AI112" s="77"/>
      <c r="AJ112" s="79"/>
      <c r="AK112" s="297"/>
    </row>
    <row r="113" spans="2:37" ht="12.75">
      <c r="B113" s="555"/>
      <c r="C113" s="9" t="s">
        <v>71</v>
      </c>
      <c r="D113" s="101" t="s">
        <v>18</v>
      </c>
      <c r="E113" s="3"/>
      <c r="F113" s="610" t="s">
        <v>74</v>
      </c>
      <c r="G113" s="61">
        <f>IF(E113=0,"",FamilyFactor*E113)</f>
      </c>
      <c r="H113" s="266">
        <f>IF(P113=0,"",P113)</f>
      </c>
      <c r="I113" s="15"/>
      <c r="J113" s="16"/>
      <c r="K113" s="17"/>
      <c r="M113" s="132" t="str">
        <f>'Goals, Inventory, Budget'!C113</f>
        <v>cheese cloth</v>
      </c>
      <c r="N113" s="23" t="str">
        <f>'Goals, Inventory, Budget'!F113</f>
        <v>yard</v>
      </c>
      <c r="O113" s="61">
        <f>'Goals, Inventory, Budget'!G113</f>
      </c>
      <c r="P113" s="675"/>
      <c r="Q113" s="15"/>
      <c r="R113" s="540"/>
      <c r="S113" s="258"/>
      <c r="Z113" s="611" t="str">
        <f>'Goals, Inventory, Budget'!C113</f>
        <v>cheese cloth</v>
      </c>
      <c r="AA113" s="61">
        <f>'Goals, Inventory, Budget'!G113</f>
      </c>
      <c r="AB113" s="23" t="str">
        <f>'Goals, Inventory, Budget'!F113</f>
        <v>yard</v>
      </c>
      <c r="AC113" s="82"/>
      <c r="AD113" s="15"/>
      <c r="AE113" s="16"/>
      <c r="AF113" s="17"/>
      <c r="AG113" s="151">
        <f>IF(AC113=0,0,AC113*AA113)</f>
        <v>0</v>
      </c>
      <c r="AH113" s="78"/>
      <c r="AI113" s="78"/>
      <c r="AJ113" s="80"/>
      <c r="AK113" s="297"/>
    </row>
    <row r="114" spans="2:37" ht="13.5" thickBot="1">
      <c r="B114" s="555"/>
      <c r="C114" s="9" t="s">
        <v>76</v>
      </c>
      <c r="D114" s="101" t="s">
        <v>18</v>
      </c>
      <c r="E114" s="3">
        <v>1</v>
      </c>
      <c r="F114" s="610" t="s">
        <v>77</v>
      </c>
      <c r="G114" s="63">
        <f>E114</f>
        <v>1</v>
      </c>
      <c r="H114" s="266">
        <f>IF(P114=0,"",P114)</f>
      </c>
      <c r="I114" s="15"/>
      <c r="J114" s="16"/>
      <c r="K114" s="17"/>
      <c r="M114" s="132" t="str">
        <f>'Goals, Inventory, Budget'!C114</f>
        <v>yogurt maker</v>
      </c>
      <c r="N114" s="23" t="str">
        <f>'Goals, Inventory, Budget'!F114</f>
        <v>1/family</v>
      </c>
      <c r="O114" s="63">
        <f>'Goals, Inventory, Budget'!G114</f>
        <v>1</v>
      </c>
      <c r="P114" s="675"/>
      <c r="Q114" s="15"/>
      <c r="R114" s="540"/>
      <c r="S114" s="258"/>
      <c r="Z114" s="611" t="str">
        <f>'Goals, Inventory, Budget'!C114</f>
        <v>yogurt maker</v>
      </c>
      <c r="AA114" s="63">
        <f>'Goals, Inventory, Budget'!G114</f>
        <v>1</v>
      </c>
      <c r="AB114" s="23" t="str">
        <f>'Goals, Inventory, Budget'!F114</f>
        <v>1/family</v>
      </c>
      <c r="AC114" s="82"/>
      <c r="AD114" s="15"/>
      <c r="AE114" s="16"/>
      <c r="AF114" s="17"/>
      <c r="AG114" s="152">
        <f>AC114*AA114</f>
        <v>0</v>
      </c>
      <c r="AH114" s="78"/>
      <c r="AI114" s="78"/>
      <c r="AJ114" s="80"/>
      <c r="AK114" s="298"/>
    </row>
    <row r="115" spans="2:37" ht="65.25" thickBot="1" thickTop="1">
      <c r="B115" s="555"/>
      <c r="C115" s="626" t="s">
        <v>51</v>
      </c>
      <c r="D115" s="627"/>
      <c r="E115" s="125" t="s">
        <v>276</v>
      </c>
      <c r="F115" s="125" t="s">
        <v>15</v>
      </c>
      <c r="G115" s="124" t="s">
        <v>190</v>
      </c>
      <c r="H115" s="124" t="s">
        <v>189</v>
      </c>
      <c r="I115" s="124" t="s">
        <v>55</v>
      </c>
      <c r="J115" s="124" t="s">
        <v>56</v>
      </c>
      <c r="K115" s="123" t="s">
        <v>57</v>
      </c>
      <c r="M115" s="133" t="str">
        <f>'Goals, Inventory, Budget'!C115</f>
        <v>Powdered Milk, Dairy Products, &amp; Eggs</v>
      </c>
      <c r="N115" s="125" t="str">
        <f>'Goals, Inventory, Budget'!F115</f>
        <v>Units</v>
      </c>
      <c r="O115" s="124" t="str">
        <f>'Goals, Inventory, Budget'!G115</f>
        <v>Family Total Goal</v>
      </c>
      <c r="P115" s="124" t="str">
        <f>'Goals, Inventory, Budget'!H115</f>
        <v>In Inventory</v>
      </c>
      <c r="Q115" s="124" t="str">
        <f>'Goals, Inventory, Budget'!I115</f>
        <v>Still Need for 12 months</v>
      </c>
      <c r="R115" s="134" t="str">
        <f>'Goals, Inventory, Budget'!J115</f>
        <v>Still Need for 6 months</v>
      </c>
      <c r="S115" s="135" t="str">
        <f>'Goals, Inventory, Budget'!K115</f>
        <v>Still Need for 3 months</v>
      </c>
      <c r="Z115" s="657" t="str">
        <f>'Goals, Inventory, Budget'!C115</f>
        <v>Powdered Milk, Dairy Products, &amp; Eggs</v>
      </c>
      <c r="AA115" s="124" t="str">
        <f>'Goals, Inventory, Budget'!G115</f>
        <v>Family Total Goal</v>
      </c>
      <c r="AB115" s="125" t="str">
        <f>'Goals, Inventory, Budget'!F115</f>
        <v>Units</v>
      </c>
      <c r="AC115" s="150" t="s">
        <v>209</v>
      </c>
      <c r="AD115" s="124" t="str">
        <f>'Goals, Inventory, Budget'!I115</f>
        <v>Still Need for 12 months</v>
      </c>
      <c r="AE115" s="658" t="str">
        <f>'Goals, Inventory, Budget'!J115</f>
        <v>Still Need for 6 months</v>
      </c>
      <c r="AF115" s="659" t="str">
        <f>'Goals, Inventory, Budget'!K115</f>
        <v>Still Need for 3 months</v>
      </c>
      <c r="AG115" s="660" t="s">
        <v>210</v>
      </c>
      <c r="AH115" s="660" t="s">
        <v>211</v>
      </c>
      <c r="AI115" s="661" t="s">
        <v>212</v>
      </c>
      <c r="AJ115" s="662" t="s">
        <v>281</v>
      </c>
      <c r="AK115" s="293"/>
    </row>
    <row r="116" spans="2:36" ht="14.25" thickBot="1" thickTop="1">
      <c r="B116" s="555"/>
      <c r="C116" s="635" t="s">
        <v>48</v>
      </c>
      <c r="D116" s="636"/>
      <c r="E116" s="676">
        <f>(E99+E101*3.6/16+E105*0.75)</f>
        <v>164.125</v>
      </c>
      <c r="F116" s="637" t="s">
        <v>23</v>
      </c>
      <c r="G116" s="67">
        <f>FamilyFactor*E116</f>
        <v>164.125</v>
      </c>
      <c r="H116" s="229">
        <f>P116</f>
        <v>0</v>
      </c>
      <c r="I116" s="43">
        <f>IF(G116="","",IF(H116="",G116-0,IF(G116&lt;H116,0,G116-H116)))</f>
        <v>164.125</v>
      </c>
      <c r="J116" s="54">
        <f>IF((G116/2-H116)&lt;=0,0,G116/2-H116)</f>
        <v>82.0625</v>
      </c>
      <c r="K116" s="55">
        <f>IF((G116/4-H116)&lt;=0,0,G116/4-H116)</f>
        <v>41.03125</v>
      </c>
      <c r="M116" s="128" t="str">
        <f>'Goals, Inventory, Budget'!C116</f>
        <v>Grand Total</v>
      </c>
      <c r="N116" s="129" t="str">
        <f>'Goals, Inventory, Budget'!F116</f>
        <v>lbs</v>
      </c>
      <c r="O116" s="67">
        <f>'Goals, Inventory, Budget'!G116</f>
        <v>164.125</v>
      </c>
      <c r="P116" s="229">
        <f>P99+P101*3.6/16+P105*0.75</f>
        <v>0</v>
      </c>
      <c r="Q116" s="43">
        <f>'Goals, Inventory, Budget'!I116</f>
        <v>164.125</v>
      </c>
      <c r="R116" s="48">
        <f>'Goals, Inventory, Budget'!J116</f>
        <v>82.0625</v>
      </c>
      <c r="S116" s="49">
        <f>'Goals, Inventory, Budget'!K116</f>
        <v>41.03125</v>
      </c>
      <c r="Z116" s="663" t="str">
        <f>'Goals, Inventory, Budget'!C116</f>
        <v>Grand Total</v>
      </c>
      <c r="AA116" s="67">
        <f>'Goals, Inventory, Budget'!G116</f>
        <v>164.125</v>
      </c>
      <c r="AB116" s="129" t="str">
        <f>'Goals, Inventory, Budget'!F116</f>
        <v>lbs</v>
      </c>
      <c r="AC116" s="83"/>
      <c r="AD116" s="43">
        <f>'Goals, Inventory, Budget'!I116</f>
        <v>164.125</v>
      </c>
      <c r="AE116" s="54">
        <f>'Goals, Inventory, Budget'!J116</f>
        <v>82.0625</v>
      </c>
      <c r="AF116" s="55">
        <f>'Goals, Inventory, Budget'!K116</f>
        <v>41.03125</v>
      </c>
      <c r="AG116" s="159">
        <f>AG105+AG101+AG99+SUM(AG107:AG110)+SUM(AG112:AG114)</f>
        <v>129</v>
      </c>
      <c r="AH116" s="160">
        <f>AH105+AH101+AH99</f>
        <v>64.5</v>
      </c>
      <c r="AI116" s="252">
        <f>AI105+AI101+AI99</f>
        <v>32.25</v>
      </c>
      <c r="AJ116" s="247">
        <f>AJ105+AJ101+AJ99</f>
        <v>10.75</v>
      </c>
    </row>
    <row r="117" spans="2:40" s="199" customFormat="1" ht="14.25" thickBot="1" thickTop="1">
      <c r="B117" s="553"/>
      <c r="C117" s="205"/>
      <c r="D117" s="547"/>
      <c r="E117" s="202"/>
      <c r="F117" s="202"/>
      <c r="G117" s="201"/>
      <c r="H117" s="201"/>
      <c r="I117" s="203"/>
      <c r="J117" s="203"/>
      <c r="K117" s="203"/>
      <c r="L117" s="204"/>
      <c r="M117" s="205"/>
      <c r="N117" s="202"/>
      <c r="O117" s="201"/>
      <c r="P117" s="201"/>
      <c r="Q117" s="203"/>
      <c r="R117" s="204"/>
      <c r="S117" s="201"/>
      <c r="T117" s="204"/>
      <c r="U117" s="201"/>
      <c r="V117" s="204"/>
      <c r="W117" s="202"/>
      <c r="X117" s="204"/>
      <c r="Y117" s="201"/>
      <c r="Z117" s="554"/>
      <c r="AA117" s="201"/>
      <c r="AB117" s="202"/>
      <c r="AC117" s="208"/>
      <c r="AD117" s="203"/>
      <c r="AE117" s="201"/>
      <c r="AF117" s="206"/>
      <c r="AG117" s="207"/>
      <c r="AH117" s="208"/>
      <c r="AI117" s="208"/>
      <c r="AJ117" s="208"/>
      <c r="AK117" s="289"/>
      <c r="AL117" s="288"/>
      <c r="AM117" s="289"/>
      <c r="AN117" s="289"/>
    </row>
    <row r="118" spans="2:37" ht="48.75" thickBot="1" thickTop="1">
      <c r="B118" s="555" t="s">
        <v>101</v>
      </c>
      <c r="C118" s="638" t="s">
        <v>101</v>
      </c>
      <c r="D118" s="639"/>
      <c r="E118" s="639"/>
      <c r="F118" s="639"/>
      <c r="G118" s="639"/>
      <c r="H118" s="640"/>
      <c r="I118" s="557" t="s">
        <v>217</v>
      </c>
      <c r="J118" s="558">
        <f>'Storage Summary'!C9</f>
        <v>100</v>
      </c>
      <c r="K118" s="558" t="str">
        <f>'Storage Summary'!E9</f>
        <v>lbs</v>
      </c>
      <c r="L118" s="96" t="s">
        <v>188</v>
      </c>
      <c r="M118" s="304" t="str">
        <f>'Goals, Inventory, Budget'!C118</f>
        <v>Sweeteners - Honey, Sugar and Syrup</v>
      </c>
      <c r="N118" s="305">
        <f>'Goals, Inventory, Budget'!F118</f>
        <v>0</v>
      </c>
      <c r="O118" s="305">
        <f>'Goals, Inventory, Budget'!G118</f>
        <v>0</v>
      </c>
      <c r="P118" s="305">
        <f>'Goals, Inventory, Budget'!H118</f>
        <v>0</v>
      </c>
      <c r="Q118" s="305" t="str">
        <f>'Goals, Inventory, Budget'!I118</f>
        <v>(Adult Total:</v>
      </c>
      <c r="R118" s="305">
        <f>'Goals, Inventory, Budget'!J118</f>
        <v>100</v>
      </c>
      <c r="S118" s="305" t="str">
        <f>'Goals, Inventory, Budget'!K118</f>
        <v>lbs</v>
      </c>
      <c r="T118" s="110"/>
      <c r="U118" s="112"/>
      <c r="V118" s="110"/>
      <c r="W118" s="111"/>
      <c r="X118" s="110"/>
      <c r="Y118" s="116"/>
      <c r="Z118" s="641" t="str">
        <f>'Goals, Inventory, Budget'!C118</f>
        <v>Sweeteners - Honey, Sugar and Syrup</v>
      </c>
      <c r="AA118" s="642"/>
      <c r="AB118" s="642"/>
      <c r="AC118" s="642"/>
      <c r="AD118" s="642"/>
      <c r="AE118" s="643" t="str">
        <f>'Goals, Inventory, Budget'!I118</f>
        <v>(Adult Total:</v>
      </c>
      <c r="AF118" s="644">
        <f>'Goals, Inventory, Budget'!J118</f>
        <v>100</v>
      </c>
      <c r="AG118" s="644" t="str">
        <f>'Goals, Inventory, Budget'!K118</f>
        <v>lbs</v>
      </c>
      <c r="AH118" s="645" t="s">
        <v>188</v>
      </c>
      <c r="AI118" s="646"/>
      <c r="AJ118" s="647"/>
      <c r="AK118" s="292"/>
    </row>
    <row r="119" spans="2:37" ht="63.75">
      <c r="B119" s="555"/>
      <c r="C119" s="483" t="s">
        <v>13</v>
      </c>
      <c r="D119" s="484" t="s">
        <v>14</v>
      </c>
      <c r="E119" s="455" t="s">
        <v>276</v>
      </c>
      <c r="F119" s="455" t="s">
        <v>15</v>
      </c>
      <c r="G119" s="485" t="s">
        <v>190</v>
      </c>
      <c r="H119" s="485" t="s">
        <v>189</v>
      </c>
      <c r="I119" s="485" t="s">
        <v>55</v>
      </c>
      <c r="J119" s="485" t="s">
        <v>56</v>
      </c>
      <c r="K119" s="567" t="s">
        <v>57</v>
      </c>
      <c r="L119" s="46" t="s">
        <v>187</v>
      </c>
      <c r="M119" s="178" t="str">
        <f>'Goals, Inventory, Budget'!C119</f>
        <v>Storage Item</v>
      </c>
      <c r="N119" s="179" t="str">
        <f>'Goals, Inventory, Budget'!F119</f>
        <v>Units</v>
      </c>
      <c r="O119" s="180" t="str">
        <f>'Goals, Inventory, Budget'!G119</f>
        <v>Family Total Goal</v>
      </c>
      <c r="P119" s="180" t="str">
        <f>'Goals, Inventory, Budget'!H119</f>
        <v>In Inventory</v>
      </c>
      <c r="Q119" s="180" t="s">
        <v>191</v>
      </c>
      <c r="R119" s="181" t="s">
        <v>192</v>
      </c>
      <c r="S119" s="180" t="s">
        <v>193</v>
      </c>
      <c r="T119" s="182" t="s">
        <v>194</v>
      </c>
      <c r="U119" s="183" t="s">
        <v>195</v>
      </c>
      <c r="V119" s="182" t="s">
        <v>196</v>
      </c>
      <c r="W119" s="184" t="s">
        <v>197</v>
      </c>
      <c r="X119" s="185" t="s">
        <v>198</v>
      </c>
      <c r="Y119" s="186" t="s">
        <v>199</v>
      </c>
      <c r="Z119" s="483" t="str">
        <f>'Goals, Inventory, Budget'!C119</f>
        <v>Storage Item</v>
      </c>
      <c r="AA119" s="485" t="str">
        <f>'Goals, Inventory, Budget'!G119</f>
        <v>Family Total Goal</v>
      </c>
      <c r="AB119" s="455" t="str">
        <f>'Goals, Inventory, Budget'!F119</f>
        <v>Units</v>
      </c>
      <c r="AC119" s="648" t="s">
        <v>209</v>
      </c>
      <c r="AD119" s="485" t="str">
        <f>'Goals, Inventory, Budget'!I119</f>
        <v>Still Need for 12 months</v>
      </c>
      <c r="AE119" s="485" t="str">
        <f>'Goals, Inventory, Budget'!J119</f>
        <v>Still Need for 6 months</v>
      </c>
      <c r="AF119" s="567" t="str">
        <f>'Goals, Inventory, Budget'!K119</f>
        <v>Still Need for 3 months</v>
      </c>
      <c r="AG119" s="649" t="s">
        <v>210</v>
      </c>
      <c r="AH119" s="649" t="s">
        <v>211</v>
      </c>
      <c r="AI119" s="650" t="s">
        <v>212</v>
      </c>
      <c r="AJ119" s="651" t="s">
        <v>281</v>
      </c>
      <c r="AK119" s="290" t="s">
        <v>285</v>
      </c>
    </row>
    <row r="120" spans="2:37" ht="12.75">
      <c r="B120" s="555"/>
      <c r="C120" s="498" t="s">
        <v>239</v>
      </c>
      <c r="D120" s="572"/>
      <c r="E120" s="572"/>
      <c r="F120" s="572"/>
      <c r="G120" s="572"/>
      <c r="H120" s="573" t="s">
        <v>232</v>
      </c>
      <c r="I120" s="597"/>
      <c r="J120" s="597"/>
      <c r="K120" s="598"/>
      <c r="L120" s="109">
        <f>E124/$J$118</f>
        <v>0.65</v>
      </c>
      <c r="M120" s="302" t="str">
        <f>'Goals, Inventory, Budget'!C120</f>
        <v>Honey  (Recommended: 65% of Major Category minimum)</v>
      </c>
      <c r="N120" s="303">
        <f>'Goals, Inventory, Budget'!F120</f>
        <v>0</v>
      </c>
      <c r="O120" s="303">
        <f>'Goals, Inventory, Budget'!G120</f>
        <v>0</v>
      </c>
      <c r="P120" s="303" t="str">
        <f>'Goals, Inventory, Budget'!H120</f>
        <v>Actual percentage of major category:</v>
      </c>
      <c r="Q120" s="303">
        <f>'Goals, Inventory, Budget'!I120</f>
        <v>0</v>
      </c>
      <c r="R120" s="303">
        <f>'Goals, Inventory, Budget'!J120</f>
        <v>0</v>
      </c>
      <c r="S120" s="303">
        <f>'Goals, Inventory, Budget'!K120</f>
        <v>0</v>
      </c>
      <c r="T120" s="114"/>
      <c r="U120" s="113"/>
      <c r="V120" s="114"/>
      <c r="W120" s="115"/>
      <c r="X120" s="114"/>
      <c r="Y120" s="121"/>
      <c r="Z120" s="308" t="str">
        <f>'Goals, Inventory, Budget'!C120</f>
        <v>Honey  (Recommended: 65% of Major Category minimum)</v>
      </c>
      <c r="AA120" s="309"/>
      <c r="AB120" s="309"/>
      <c r="AC120" s="309"/>
      <c r="AD120" s="119"/>
      <c r="AE120" s="119"/>
      <c r="AF120" s="576"/>
      <c r="AG120" s="525"/>
      <c r="AH120" s="525"/>
      <c r="AI120" s="525"/>
      <c r="AJ120" s="577"/>
      <c r="AK120" s="677"/>
    </row>
    <row r="121" spans="2:37" ht="25.5">
      <c r="B121" s="555"/>
      <c r="C121" s="170" t="s">
        <v>131</v>
      </c>
      <c r="D121" s="105" t="s">
        <v>18</v>
      </c>
      <c r="E121" s="6">
        <v>65</v>
      </c>
      <c r="F121" s="513" t="s">
        <v>23</v>
      </c>
      <c r="G121" s="71">
        <f>FamilyFactor*E121</f>
        <v>65</v>
      </c>
      <c r="H121" s="269">
        <f>IF(P121=0,"",P121)</f>
      </c>
      <c r="I121" s="47">
        <f>IF(G121="","",IF(H121="",G121-0,G121-H121))</f>
        <v>65</v>
      </c>
      <c r="J121" s="44">
        <f>IF(G121="","",IF(H121="",G121/2-0,IF((G121/2-H121)&lt;=0,0,G121/2-H121)))</f>
        <v>32.5</v>
      </c>
      <c r="K121" s="72">
        <f>IF(G121="","",IF(H121="",G121/4-0,IF((G121/4-H121)&lt;=0,0,G121/4-H121)))</f>
        <v>16.25</v>
      </c>
      <c r="L121" s="21">
        <f>IF(H121="","",IF(D121="indefinite",0,IF(D121="varies","varies",H121/D121)))</f>
      </c>
      <c r="M121" s="108" t="str">
        <f>'Goals, Inventory, Budget'!C121</f>
        <v>Honey (unfiltered, or unprocessed)</v>
      </c>
      <c r="N121" s="11" t="str">
        <f>'Goals, Inventory, Budget'!F121</f>
        <v>lbs</v>
      </c>
      <c r="O121" s="60">
        <f>'Goals, Inventory, Budget'!G121</f>
        <v>65</v>
      </c>
      <c r="P121" s="227">
        <f>Q121*R121+S121*T121+U121*V121+X121*Y121</f>
        <v>0</v>
      </c>
      <c r="Q121" s="137"/>
      <c r="R121" s="138"/>
      <c r="S121" s="30"/>
      <c r="T121" s="31"/>
      <c r="U121" s="139"/>
      <c r="V121" s="140">
        <f>IF(R121=0,0,R121*5/0.75)</f>
        <v>0</v>
      </c>
      <c r="W121" s="1"/>
      <c r="X121" s="136"/>
      <c r="Y121" s="141"/>
      <c r="Z121" s="678" t="str">
        <f>'Goals, Inventory, Budget'!C121</f>
        <v>Honey (unfiltered, or unprocessed)</v>
      </c>
      <c r="AA121" s="71">
        <f>'Goals, Inventory, Budget'!G121</f>
        <v>65</v>
      </c>
      <c r="AB121" s="26" t="str">
        <f>'Goals, Inventory, Budget'!F121</f>
        <v>lbs</v>
      </c>
      <c r="AC121" s="89"/>
      <c r="AD121" s="47">
        <f>'Goals, Inventory, Budget'!I121</f>
        <v>65</v>
      </c>
      <c r="AE121" s="44">
        <f>'Goals, Inventory, Budget'!J121</f>
        <v>32.5</v>
      </c>
      <c r="AF121" s="72">
        <f>'Goals, Inventory, Budget'!K121</f>
        <v>16.25</v>
      </c>
      <c r="AG121" s="153" t="str">
        <f>IF(AA121="","",IF(AC121=0,"price?",AD121*AC121))</f>
        <v>price?</v>
      </c>
      <c r="AH121" s="154" t="str">
        <f>IF(AA121="","",IF(AC121=0,"price?",AE121*AC121))</f>
        <v>price?</v>
      </c>
      <c r="AI121" s="154" t="str">
        <f>IF(AA121="","",IF(AC121=0,"price?",AF121*AC121))</f>
        <v>price?</v>
      </c>
      <c r="AJ121" s="255" t="str">
        <f>IF(AA121="","",IF(AC121=0,"price?",IF(AD121=0,0,AA121*AC121/12)))</f>
        <v>price?</v>
      </c>
      <c r="AK121" s="297"/>
    </row>
    <row r="122" spans="2:37" ht="12.75">
      <c r="B122" s="555"/>
      <c r="C122" s="170" t="s">
        <v>132</v>
      </c>
      <c r="D122" s="105" t="s">
        <v>182</v>
      </c>
      <c r="E122" s="6"/>
      <c r="F122" s="513" t="s">
        <v>23</v>
      </c>
      <c r="G122" s="61">
        <f>IF(E122=0,"",FamilyFactor*E122)</f>
      </c>
      <c r="H122" s="269">
        <f>IF(P122=0,"",P122)</f>
      </c>
      <c r="I122" s="40">
        <f>IF(G122="","",IF(H122="",G122-0,G122-H122))</f>
      </c>
      <c r="J122" s="19">
        <f>IF(G122="","",IF(H122="",G122/2-0,IF((G122/2-H122)&lt;=0,0,G122/2-H122)))</f>
      </c>
      <c r="K122" s="20">
        <f>IF(G122="","",IF(H122="",G122/4-0,IF((G122/4-H122)&lt;=0,0,G122/4-H122)))</f>
      </c>
      <c r="L122" s="21">
        <f>IF(H122="","",IF(D122="indefinite",0,IF(D122="varies","varies",H122/D122)))</f>
      </c>
      <c r="M122" s="108" t="str">
        <f>'Goals, Inventory, Budget'!C122</f>
        <v>diluted honey</v>
      </c>
      <c r="N122" s="11" t="str">
        <f>'Goals, Inventory, Budget'!F122</f>
        <v>lbs</v>
      </c>
      <c r="O122" s="60">
        <f>'Goals, Inventory, Budget'!G122</f>
      </c>
      <c r="P122" s="227">
        <f>Q122*R122+S122*T122+U122*V122+X122*Y122</f>
        <v>0</v>
      </c>
      <c r="Q122" s="137"/>
      <c r="R122" s="138"/>
      <c r="S122" s="30"/>
      <c r="T122" s="31"/>
      <c r="U122" s="139"/>
      <c r="V122" s="140">
        <f>IF(R122=0,0,R122*5/0.75)</f>
        <v>0</v>
      </c>
      <c r="W122" s="1"/>
      <c r="X122" s="136"/>
      <c r="Y122" s="141"/>
      <c r="Z122" s="678" t="str">
        <f>'Goals, Inventory, Budget'!C122</f>
        <v>diluted honey</v>
      </c>
      <c r="AA122" s="61">
        <f>'Goals, Inventory, Budget'!G122</f>
      </c>
      <c r="AB122" s="26" t="str">
        <f>'Goals, Inventory, Budget'!F122</f>
        <v>lbs</v>
      </c>
      <c r="AC122" s="90"/>
      <c r="AD122" s="40">
        <f>'Goals, Inventory, Budget'!I122</f>
      </c>
      <c r="AE122" s="19">
        <f>'Goals, Inventory, Budget'!J122</f>
      </c>
      <c r="AF122" s="20">
        <f>'Goals, Inventory, Budget'!K122</f>
      </c>
      <c r="AG122" s="146">
        <f>IF(AA122="","",IF(AC122=0,"price?",AD122*AC122))</f>
      </c>
      <c r="AH122" s="147">
        <f>IF(AA122="","",IF(AC122=0,"price?",AE122*AC122))</f>
      </c>
      <c r="AI122" s="147">
        <f>IF(AA122="","",IF(AC122=0,"price?",AF122*AC122))</f>
      </c>
      <c r="AJ122" s="236">
        <f>IF(AA122="","",IF(AC122=0,"price?",IF(AD122=0,0,AA122*AC122/12)))</f>
      </c>
      <c r="AK122" s="297"/>
    </row>
    <row r="123" spans="2:37" ht="13.5" thickBot="1">
      <c r="B123" s="555"/>
      <c r="C123" s="9" t="s">
        <v>130</v>
      </c>
      <c r="D123" s="105" t="s">
        <v>24</v>
      </c>
      <c r="E123" s="6"/>
      <c r="F123" s="513" t="s">
        <v>23</v>
      </c>
      <c r="G123" s="61">
        <f>IF(E123=0,"",FamilyFactor*E123)</f>
      </c>
      <c r="H123" s="37">
        <f>IF(P123=0,"",P123)</f>
      </c>
      <c r="I123" s="73">
        <f>IF(G123="","",IF(H123="",G123-0,G123-H123))</f>
      </c>
      <c r="J123" s="56">
        <f>IF(G123="","",IF(H123="",G123/2-0,IF((G123/2-H123)&lt;=0,0,G123/2-H123)))</f>
      </c>
      <c r="K123" s="57">
        <f>IF(G123="","",IF(H123="",G123/4-0,IF((G123/4-H123)&lt;=0,0,G123/4-H123)))</f>
      </c>
      <c r="L123" s="21">
        <f>IF(H123="","",IF(D123="indefinite",0,IF(D123="varies","varies",H123/D123)))</f>
      </c>
      <c r="M123" s="108" t="str">
        <f>'Goals, Inventory, Budget'!C123</f>
        <v>creamed honey</v>
      </c>
      <c r="N123" s="11" t="str">
        <f>'Goals, Inventory, Budget'!F123</f>
        <v>lbs</v>
      </c>
      <c r="O123" s="60">
        <f>'Goals, Inventory, Budget'!G123</f>
      </c>
      <c r="P123" s="227">
        <f>Q123*R123+S123*T123+U123*V123+X123*Y123</f>
        <v>0</v>
      </c>
      <c r="Q123" s="137"/>
      <c r="R123" s="138"/>
      <c r="S123" s="30"/>
      <c r="T123" s="31"/>
      <c r="U123" s="139"/>
      <c r="V123" s="140">
        <f>IF(R123=0,0,R123*5/0.75)</f>
        <v>0</v>
      </c>
      <c r="W123" s="1"/>
      <c r="X123" s="136"/>
      <c r="Y123" s="141"/>
      <c r="Z123" s="132" t="str">
        <f>'Goals, Inventory, Budget'!C123</f>
        <v>creamed honey</v>
      </c>
      <c r="AA123" s="61">
        <f>'Goals, Inventory, Budget'!G123</f>
      </c>
      <c r="AB123" s="26" t="str">
        <f>'Goals, Inventory, Budget'!F123</f>
        <v>lbs</v>
      </c>
      <c r="AC123" s="90"/>
      <c r="AD123" s="73">
        <f>'Goals, Inventory, Budget'!I123</f>
      </c>
      <c r="AE123" s="56">
        <f>'Goals, Inventory, Budget'!J123</f>
      </c>
      <c r="AF123" s="57">
        <f>'Goals, Inventory, Budget'!K123</f>
      </c>
      <c r="AG123" s="148">
        <f>IF(AA123="","",IF(AC123=0,"price?",AD123*AC123))</f>
      </c>
      <c r="AH123" s="149">
        <f>IF(AA123="","",IF(AC123=0,"price?",AE123*AC123))</f>
      </c>
      <c r="AI123" s="149">
        <f>IF(AA123="","",IF(AC123=0,"price?",AF123*AC123))</f>
      </c>
      <c r="AJ123" s="250">
        <f>IF(AA123="","",IF(AC123=0,"price?",IF(AD123=0,0,AA123*AC123/12)))</f>
      </c>
      <c r="AK123" s="296"/>
    </row>
    <row r="124" spans="2:37" ht="13.5" thickTop="1">
      <c r="B124" s="555"/>
      <c r="C124" s="517" t="s">
        <v>129</v>
      </c>
      <c r="D124" s="664"/>
      <c r="E124" s="122">
        <f>SUM(E121:E123)</f>
        <v>65</v>
      </c>
      <c r="F124" s="122" t="s">
        <v>23</v>
      </c>
      <c r="G124" s="59">
        <f>FamilyFactor*E124</f>
        <v>65</v>
      </c>
      <c r="H124" s="224">
        <f>P124</f>
        <v>0</v>
      </c>
      <c r="I124" s="41">
        <f>IF(G124="","",IF(H124="",G124-0,IF(G124&lt;H124,0,G124-H124)))</f>
        <v>65</v>
      </c>
      <c r="J124" s="52">
        <f>IF((G124/2-H124)&lt;=0,0,G124/2-H124)</f>
        <v>32.5</v>
      </c>
      <c r="K124" s="53">
        <f>IF((G124/4-H124)&lt;=0,0,G124/4-H124)</f>
        <v>16.25</v>
      </c>
      <c r="L124" s="27"/>
      <c r="M124" s="177" t="str">
        <f>'Goals, Inventory, Budget'!C124</f>
        <v>Total Honey</v>
      </c>
      <c r="N124" s="126" t="str">
        <f>'Goals, Inventory, Budget'!F124</f>
        <v>lbs</v>
      </c>
      <c r="O124" s="59">
        <f>'Goals, Inventory, Budget'!G124</f>
        <v>65</v>
      </c>
      <c r="P124" s="224">
        <f>SUM(P121:P123)</f>
        <v>0</v>
      </c>
      <c r="Q124" s="591"/>
      <c r="R124" s="592"/>
      <c r="S124" s="593"/>
      <c r="T124" s="592"/>
      <c r="U124" s="593"/>
      <c r="V124" s="592"/>
      <c r="W124" s="594"/>
      <c r="X124" s="592"/>
      <c r="Y124" s="595"/>
      <c r="Z124" s="665" t="str">
        <f>'Goals, Inventory, Budget'!C124</f>
        <v>Total Honey</v>
      </c>
      <c r="AA124" s="59">
        <f>'Goals, Inventory, Budget'!G124</f>
        <v>65</v>
      </c>
      <c r="AB124" s="126" t="str">
        <f>'Goals, Inventory, Budget'!F124</f>
        <v>lbs</v>
      </c>
      <c r="AC124" s="84"/>
      <c r="AD124" s="41">
        <f>'Goals, Inventory, Budget'!I124</f>
        <v>65</v>
      </c>
      <c r="AE124" s="52">
        <f>'Goals, Inventory, Budget'!J124</f>
        <v>32.5</v>
      </c>
      <c r="AF124" s="53">
        <f>'Goals, Inventory, Budget'!K124</f>
        <v>16.25</v>
      </c>
      <c r="AG124" s="144">
        <f>SUM(AG121:AG123)</f>
        <v>0</v>
      </c>
      <c r="AH124" s="145">
        <f>SUM(AH121:AH123)</f>
        <v>0</v>
      </c>
      <c r="AI124" s="233">
        <f>SUM(AI121:AI123)</f>
        <v>0</v>
      </c>
      <c r="AJ124" s="249">
        <f>SUM(AJ121:AJ123)</f>
        <v>0</v>
      </c>
      <c r="AK124" s="654"/>
    </row>
    <row r="125" spans="2:37" ht="12.75">
      <c r="B125" s="555"/>
      <c r="C125" s="498" t="s">
        <v>159</v>
      </c>
      <c r="D125" s="572"/>
      <c r="E125" s="572"/>
      <c r="F125" s="572"/>
      <c r="G125" s="572"/>
      <c r="H125" s="572"/>
      <c r="I125" s="572"/>
      <c r="J125" s="572"/>
      <c r="K125" s="617"/>
      <c r="L125" s="97"/>
      <c r="M125" s="302" t="str">
        <f>'Goals, Inventory, Budget'!C125</f>
        <v>Syrup &amp; Jams (as needed)</v>
      </c>
      <c r="N125" s="303">
        <f>'Goals, Inventory, Budget'!F125</f>
        <v>0</v>
      </c>
      <c r="O125" s="303">
        <f>'Goals, Inventory, Budget'!G125</f>
        <v>0</v>
      </c>
      <c r="P125" s="303">
        <f>'Goals, Inventory, Budget'!H125</f>
        <v>0</v>
      </c>
      <c r="Q125" s="303">
        <f>'Goals, Inventory, Budget'!I125</f>
        <v>0</v>
      </c>
      <c r="R125" s="303">
        <f>'Goals, Inventory, Budget'!J125</f>
        <v>0</v>
      </c>
      <c r="S125" s="303">
        <f>'Goals, Inventory, Budget'!K125</f>
        <v>0</v>
      </c>
      <c r="T125" s="114"/>
      <c r="U125" s="113"/>
      <c r="V125" s="114"/>
      <c r="W125" s="115"/>
      <c r="X125" s="114"/>
      <c r="Y125" s="121"/>
      <c r="Z125" s="308" t="str">
        <f>'Goals, Inventory, Budget'!C125</f>
        <v>Syrup &amp; Jams (as needed)</v>
      </c>
      <c r="AA125" s="309"/>
      <c r="AB125" s="309"/>
      <c r="AC125" s="309"/>
      <c r="AD125" s="606"/>
      <c r="AE125" s="606"/>
      <c r="AF125" s="600"/>
      <c r="AG125" s="601"/>
      <c r="AH125" s="601"/>
      <c r="AI125" s="601"/>
      <c r="AJ125" s="607"/>
      <c r="AK125" s="603"/>
    </row>
    <row r="126" spans="2:37" ht="12.75">
      <c r="B126" s="555"/>
      <c r="C126" s="104" t="s">
        <v>90</v>
      </c>
      <c r="D126" s="98" t="s">
        <v>18</v>
      </c>
      <c r="E126" s="1"/>
      <c r="F126" s="504" t="s">
        <v>23</v>
      </c>
      <c r="G126" s="61">
        <f>IF(E126=0,"",FamilyFactor*E126)</f>
      </c>
      <c r="H126" s="38">
        <f>IF(P126=0,"",P126)</f>
      </c>
      <c r="I126" s="40">
        <f>IF(G126="","",IF(H126="",G126-0,G126-H126))</f>
      </c>
      <c r="J126" s="19">
        <f>IF(G126="","",IF(H126="",G126/2-0,IF((G126/2-H126)&lt;=0,0,G126/2-H126)))</f>
      </c>
      <c r="K126" s="20">
        <f>IF(G126="","",IF(H126="",G126/4-0,IF((G126/4-H126)&lt;=0,0,G126/4-H126)))</f>
      </c>
      <c r="L126" s="21">
        <f>IF(H126="","",IF(D126="indefinite",0,IF(D126="varies","varies",H126/D126)))</f>
      </c>
      <c r="M126" s="108" t="str">
        <f>'Goals, Inventory, Budget'!C126</f>
        <v>corn syrup</v>
      </c>
      <c r="N126" s="11" t="str">
        <f>'Goals, Inventory, Budget'!F126</f>
        <v>lbs</v>
      </c>
      <c r="O126" s="60">
        <f>'Goals, Inventory, Budget'!G126</f>
      </c>
      <c r="P126" s="227">
        <f>Q126*R126+S126*T126+U126*V126+X126*Y126</f>
        <v>0</v>
      </c>
      <c r="Q126" s="137"/>
      <c r="R126" s="138"/>
      <c r="S126" s="30"/>
      <c r="T126" s="31"/>
      <c r="U126" s="139"/>
      <c r="V126" s="140">
        <f>IF(R126=0,0,R126*5/0.75)</f>
        <v>0</v>
      </c>
      <c r="W126" s="1"/>
      <c r="X126" s="136"/>
      <c r="Y126" s="141"/>
      <c r="Z126" s="172" t="str">
        <f>'Goals, Inventory, Budget'!C126</f>
        <v>corn syrup</v>
      </c>
      <c r="AA126" s="61">
        <f>'Goals, Inventory, Budget'!G126</f>
      </c>
      <c r="AB126" s="11" t="str">
        <f>'Goals, Inventory, Budget'!F126</f>
        <v>lbs</v>
      </c>
      <c r="AC126" s="74"/>
      <c r="AD126" s="40">
        <f>'Goals, Inventory, Budget'!I126</f>
      </c>
      <c r="AE126" s="19">
        <f>'Goals, Inventory, Budget'!J126</f>
      </c>
      <c r="AF126" s="20">
        <f>'Goals, Inventory, Budget'!K126</f>
      </c>
      <c r="AG126" s="146">
        <f>IF(AA126="","",IF(AC126=0,"price?",AD126*AC126))</f>
      </c>
      <c r="AH126" s="147">
        <f>IF(AA126="","",IF(AC126=0,"price?",AE126*AC126))</f>
      </c>
      <c r="AI126" s="147">
        <f>IF(AA126="","",IF(AC126=0,"price?",AF126*AC126))</f>
      </c>
      <c r="AJ126" s="236">
        <f>IF(AA126="","",IF(AC126=0,"price?",IF(AD126=0,0,AA126*AC126/12)))</f>
      </c>
      <c r="AK126" s="297"/>
    </row>
    <row r="127" spans="2:37" ht="12.75">
      <c r="B127" s="555"/>
      <c r="C127" s="104" t="s">
        <v>91</v>
      </c>
      <c r="D127" s="98" t="s">
        <v>18</v>
      </c>
      <c r="E127" s="1"/>
      <c r="F127" s="504" t="s">
        <v>23</v>
      </c>
      <c r="G127" s="61">
        <f>IF(E127=0,"",FamilyFactor*E127)</f>
      </c>
      <c r="H127" s="38">
        <f>IF(P127=0,"",P127)</f>
      </c>
      <c r="I127" s="40">
        <f>IF(G127="","",IF(H127="",G127-0,G127-H127))</f>
      </c>
      <c r="J127" s="19">
        <f>IF(G127="","",IF(H127="",G127/2-0,IF((G127/2-H127)&lt;=0,0,G127/2-H127)))</f>
      </c>
      <c r="K127" s="20">
        <f>IF(G127="","",IF(H127="",G127/4-0,IF((G127/4-H127)&lt;=0,0,G127/4-H127)))</f>
      </c>
      <c r="L127" s="21">
        <f>IF(H127="","",IF(D127="indefinite",0,IF(D127="varies","varies",H127/D127)))</f>
      </c>
      <c r="M127" s="108" t="str">
        <f>'Goals, Inventory, Budget'!C127</f>
        <v>maple syrup</v>
      </c>
      <c r="N127" s="11" t="str">
        <f>'Goals, Inventory, Budget'!F127</f>
        <v>lbs</v>
      </c>
      <c r="O127" s="60">
        <f>'Goals, Inventory, Budget'!G127</f>
      </c>
      <c r="P127" s="227">
        <f>Q127*R127+S127*T127+U127*V127+X127*Y127</f>
        <v>0</v>
      </c>
      <c r="Q127" s="137"/>
      <c r="R127" s="138"/>
      <c r="S127" s="30"/>
      <c r="T127" s="31"/>
      <c r="U127" s="139"/>
      <c r="V127" s="140">
        <f>IF(R127=0,0,R127*5/0.75)</f>
        <v>0</v>
      </c>
      <c r="W127" s="1"/>
      <c r="X127" s="136"/>
      <c r="Y127" s="141"/>
      <c r="Z127" s="172" t="str">
        <f>'Goals, Inventory, Budget'!C127</f>
        <v>maple syrup</v>
      </c>
      <c r="AA127" s="61">
        <f>'Goals, Inventory, Budget'!G127</f>
      </c>
      <c r="AB127" s="11" t="str">
        <f>'Goals, Inventory, Budget'!F127</f>
        <v>lbs</v>
      </c>
      <c r="AC127" s="74"/>
      <c r="AD127" s="40">
        <f>'Goals, Inventory, Budget'!I127</f>
      </c>
      <c r="AE127" s="19">
        <f>'Goals, Inventory, Budget'!J127</f>
      </c>
      <c r="AF127" s="20">
        <f>'Goals, Inventory, Budget'!K127</f>
      </c>
      <c r="AG127" s="146">
        <f>IF(AA127="","",IF(AC127=0,"price?",AD127*AC127))</f>
      </c>
      <c r="AH127" s="147">
        <f>IF(AA127="","",IF(AC127=0,"price?",AE127*AC127))</f>
      </c>
      <c r="AI127" s="147">
        <f>IF(AA127="","",IF(AC127=0,"price?",AF127*AC127))</f>
      </c>
      <c r="AJ127" s="236">
        <f>IF(AA127="","",IF(AC127=0,"price?",IF(AD127=0,0,AA127*AC127/12)))</f>
      </c>
      <c r="AK127" s="297"/>
    </row>
    <row r="128" spans="2:37" ht="12.75">
      <c r="B128" s="555"/>
      <c r="C128" s="9" t="s">
        <v>160</v>
      </c>
      <c r="D128" s="98" t="s">
        <v>18</v>
      </c>
      <c r="E128" s="1"/>
      <c r="F128" s="504" t="s">
        <v>23</v>
      </c>
      <c r="G128" s="61">
        <f>IF(E128=0,"",FamilyFactor*E128)</f>
      </c>
      <c r="H128" s="38">
        <f>IF(P128=0,"",P128)</f>
      </c>
      <c r="I128" s="40">
        <f>IF(G128="","",IF(H128="",G128-0,G128-H128))</f>
      </c>
      <c r="J128" s="19">
        <f>IF(G128="","",IF(H128="",G128/2-0,IF((G128/2-H128)&lt;=0,0,G128/2-H128)))</f>
      </c>
      <c r="K128" s="20">
        <f>IF(G128="","",IF(H128="",G128/4-0,IF((G128/4-H128)&lt;=0,0,G128/4-H128)))</f>
      </c>
      <c r="L128" s="21">
        <f>IF(H128="","",IF(D128="indefinite",0,IF(D128="varies","varies",H128/D128)))</f>
      </c>
      <c r="M128" s="108" t="str">
        <f>'Goals, Inventory, Budget'!C128</f>
        <v>Jams or preserves </v>
      </c>
      <c r="N128" s="11" t="str">
        <f>'Goals, Inventory, Budget'!F128</f>
        <v>lbs</v>
      </c>
      <c r="O128" s="60">
        <f>'Goals, Inventory, Budget'!G128</f>
      </c>
      <c r="P128" s="227">
        <f>Q128*R128+S128*T128+U128*V128+X128*Y128</f>
        <v>0</v>
      </c>
      <c r="Q128" s="137"/>
      <c r="R128" s="138"/>
      <c r="S128" s="30"/>
      <c r="T128" s="31"/>
      <c r="U128" s="139"/>
      <c r="V128" s="140">
        <f>IF(R128=0,0,R128*5/0.75)</f>
        <v>0</v>
      </c>
      <c r="W128" s="1"/>
      <c r="X128" s="136"/>
      <c r="Y128" s="141"/>
      <c r="Z128" s="132" t="str">
        <f>'Goals, Inventory, Budget'!C128</f>
        <v>Jams or preserves </v>
      </c>
      <c r="AA128" s="61">
        <f>'Goals, Inventory, Budget'!G128</f>
      </c>
      <c r="AB128" s="11" t="str">
        <f>'Goals, Inventory, Budget'!F128</f>
        <v>lbs</v>
      </c>
      <c r="AC128" s="74"/>
      <c r="AD128" s="40">
        <f>'Goals, Inventory, Budget'!I128</f>
      </c>
      <c r="AE128" s="19">
        <f>'Goals, Inventory, Budget'!J128</f>
      </c>
      <c r="AF128" s="20">
        <f>'Goals, Inventory, Budget'!K128</f>
      </c>
      <c r="AG128" s="146">
        <f>IF(AA128="","",IF(AC128=0,"price?",AD128*AC128))</f>
      </c>
      <c r="AH128" s="147">
        <f>IF(AA128="","",IF(AC128=0,"price?",AE128*AC128))</f>
      </c>
      <c r="AI128" s="147">
        <f>IF(AA128="","",IF(AC128=0,"price?",AF128*AC128))</f>
      </c>
      <c r="AJ128" s="236">
        <f>IF(AA128="","",IF(AC128=0,"price?",IF(AD128=0,0,AA128*AC128/12)))</f>
      </c>
      <c r="AK128" s="297"/>
    </row>
    <row r="129" spans="2:37" ht="13.5" thickBot="1">
      <c r="B129" s="555"/>
      <c r="C129" s="9" t="s">
        <v>92</v>
      </c>
      <c r="D129" s="105" t="s">
        <v>178</v>
      </c>
      <c r="E129" s="6"/>
      <c r="F129" s="513" t="s">
        <v>23</v>
      </c>
      <c r="G129" s="61">
        <f>IF(E129=0,"",FamilyFactor*E129)</f>
      </c>
      <c r="H129" s="37">
        <f>IF(P129=0,"",P129)</f>
      </c>
      <c r="I129" s="73">
        <f>IF(G129="","",IF(H129="",G129-0,G129-H129))</f>
      </c>
      <c r="J129" s="56">
        <f>IF(G129="","",IF(H129="",G129/2-0,IF((G129/2-H129)&lt;=0,0,G129/2-H129)))</f>
      </c>
      <c r="K129" s="57">
        <f>IF(G129="","",IF(H129="",G129/4-0,IF((G129/4-H129)&lt;=0,0,G129/4-H129)))</f>
      </c>
      <c r="L129" s="21">
        <f>IF(H129="","",IF(D129="indefinite",0,IF(D129="varies","varies",H129/D129)))</f>
      </c>
      <c r="M129" s="108" t="str">
        <f>'Goals, Inventory, Budget'!C129</f>
        <v>Molasses</v>
      </c>
      <c r="N129" s="11" t="str">
        <f>'Goals, Inventory, Budget'!F129</f>
        <v>lbs</v>
      </c>
      <c r="O129" s="60">
        <f>'Goals, Inventory, Budget'!G129</f>
      </c>
      <c r="P129" s="227">
        <f>Q129*R129+S129*T129+U129*V129+X129*Y129</f>
        <v>0</v>
      </c>
      <c r="Q129" s="137"/>
      <c r="R129" s="138"/>
      <c r="S129" s="30"/>
      <c r="T129" s="31"/>
      <c r="U129" s="139"/>
      <c r="V129" s="140">
        <f>IF(R129=0,0,R129*5/0.75)</f>
        <v>0</v>
      </c>
      <c r="W129" s="1"/>
      <c r="X129" s="136"/>
      <c r="Y129" s="141"/>
      <c r="Z129" s="132" t="str">
        <f>'Goals, Inventory, Budget'!C129</f>
        <v>Molasses</v>
      </c>
      <c r="AA129" s="61">
        <f>'Goals, Inventory, Budget'!G129</f>
      </c>
      <c r="AB129" s="26" t="str">
        <f>'Goals, Inventory, Budget'!F129</f>
        <v>lbs</v>
      </c>
      <c r="AC129" s="90"/>
      <c r="AD129" s="73">
        <f>'Goals, Inventory, Budget'!I129</f>
      </c>
      <c r="AE129" s="56">
        <f>'Goals, Inventory, Budget'!J129</f>
      </c>
      <c r="AF129" s="57">
        <f>'Goals, Inventory, Budget'!K129</f>
      </c>
      <c r="AG129" s="148">
        <f>IF(AA129="","",IF(AC129=0,"price?",AD129*AC129))</f>
      </c>
      <c r="AH129" s="149">
        <f>IF(AA129="","",IF(AC129=0,"price?",AE129*AC129))</f>
      </c>
      <c r="AI129" s="149">
        <f>IF(AA129="","",IF(AC129=0,"price?",AF129*AC129))</f>
      </c>
      <c r="AJ129" s="250">
        <f>IF(AA129="","",IF(AC129=0,"price?",IF(AD129=0,0,AA129*AC129/12)))</f>
      </c>
      <c r="AK129" s="296"/>
    </row>
    <row r="130" spans="2:37" ht="13.5" thickTop="1">
      <c r="B130" s="555"/>
      <c r="C130" s="517" t="s">
        <v>93</v>
      </c>
      <c r="D130" s="664"/>
      <c r="E130" s="122">
        <f>SUM(E126:E129)</f>
        <v>0</v>
      </c>
      <c r="F130" s="122" t="s">
        <v>23</v>
      </c>
      <c r="G130" s="59">
        <f>FamilyFactor*E130</f>
        <v>0</v>
      </c>
      <c r="H130" s="224">
        <f>P130</f>
        <v>0</v>
      </c>
      <c r="I130" s="41">
        <f>IF(G130="","",IF(H130="",G130-0,IF(G130&lt;H130,0,G130-H130)))</f>
        <v>0</v>
      </c>
      <c r="J130" s="52">
        <f>IF((G130/2-H130)&lt;=0,0,G130/2-H130)</f>
        <v>0</v>
      </c>
      <c r="K130" s="53">
        <f>IF((G130/4-H130)&lt;=0,0,G130/4-H130)</f>
        <v>0</v>
      </c>
      <c r="L130" s="27"/>
      <c r="M130" s="177" t="str">
        <f>'Goals, Inventory, Budget'!C130</f>
        <v>Total syrup</v>
      </c>
      <c r="N130" s="126" t="str">
        <f>'Goals, Inventory, Budget'!F130</f>
        <v>lbs</v>
      </c>
      <c r="O130" s="59">
        <f>'Goals, Inventory, Budget'!G130</f>
        <v>0</v>
      </c>
      <c r="P130" s="224">
        <f>SUM(P126:P129)</f>
        <v>0</v>
      </c>
      <c r="Q130" s="591"/>
      <c r="R130" s="592"/>
      <c r="S130" s="593"/>
      <c r="T130" s="592"/>
      <c r="U130" s="593"/>
      <c r="V130" s="592"/>
      <c r="W130" s="594"/>
      <c r="X130" s="592"/>
      <c r="Y130" s="595"/>
      <c r="Z130" s="665" t="str">
        <f>'Goals, Inventory, Budget'!C130</f>
        <v>Total syrup</v>
      </c>
      <c r="AA130" s="59">
        <f>'Goals, Inventory, Budget'!G130</f>
        <v>0</v>
      </c>
      <c r="AB130" s="126" t="str">
        <f>'Goals, Inventory, Budget'!F130</f>
        <v>lbs</v>
      </c>
      <c r="AC130" s="84"/>
      <c r="AD130" s="41">
        <f>'Goals, Inventory, Budget'!I130</f>
        <v>0</v>
      </c>
      <c r="AE130" s="52">
        <f>'Goals, Inventory, Budget'!J130</f>
        <v>0</v>
      </c>
      <c r="AF130" s="53">
        <f>'Goals, Inventory, Budget'!K130</f>
        <v>0</v>
      </c>
      <c r="AG130" s="144">
        <f>SUM(AG126:AG129)</f>
        <v>0</v>
      </c>
      <c r="AH130" s="145">
        <f>SUM(AH126:AH129)</f>
        <v>0</v>
      </c>
      <c r="AI130" s="233">
        <f>SUM(AI126:AI129)</f>
        <v>0</v>
      </c>
      <c r="AJ130" s="249">
        <f>SUM(AJ126:AJ129)</f>
        <v>0</v>
      </c>
      <c r="AK130" s="654"/>
    </row>
    <row r="131" spans="2:37" ht="12.75">
      <c r="B131" s="555"/>
      <c r="C131" s="498" t="s">
        <v>240</v>
      </c>
      <c r="D131" s="572"/>
      <c r="E131" s="572"/>
      <c r="F131" s="572"/>
      <c r="G131" s="572"/>
      <c r="H131" s="573" t="s">
        <v>232</v>
      </c>
      <c r="I131" s="597"/>
      <c r="J131" s="597"/>
      <c r="K131" s="598"/>
      <c r="L131" s="109">
        <f>E135/$J$118</f>
        <v>0</v>
      </c>
      <c r="M131" s="302" t="str">
        <f>'Goals, Inventory, Budget'!C131</f>
        <v>Sugar (Recommended: 20% of Major Category minimum)</v>
      </c>
      <c r="N131" s="303">
        <f>'Goals, Inventory, Budget'!F131</f>
        <v>0</v>
      </c>
      <c r="O131" s="303">
        <f>'Goals, Inventory, Budget'!G131</f>
        <v>0</v>
      </c>
      <c r="P131" s="303" t="str">
        <f>'Goals, Inventory, Budget'!H131</f>
        <v>Actual percentage of major category:</v>
      </c>
      <c r="Q131" s="303">
        <f>'Goals, Inventory, Budget'!I131</f>
        <v>0</v>
      </c>
      <c r="R131" s="303">
        <f>'Goals, Inventory, Budget'!J131</f>
        <v>0</v>
      </c>
      <c r="S131" s="303">
        <f>'Goals, Inventory, Budget'!K131</f>
        <v>0</v>
      </c>
      <c r="T131" s="114"/>
      <c r="U131" s="113"/>
      <c r="V131" s="114"/>
      <c r="W131" s="115"/>
      <c r="X131" s="114"/>
      <c r="Y131" s="121"/>
      <c r="Z131" s="308" t="str">
        <f>'Goals, Inventory, Budget'!C131</f>
        <v>Sugar (Recommended: 20% of Major Category minimum)</v>
      </c>
      <c r="AA131" s="309"/>
      <c r="AB131" s="309"/>
      <c r="AC131" s="309"/>
      <c r="AD131" s="606"/>
      <c r="AE131" s="606"/>
      <c r="AF131" s="600"/>
      <c r="AG131" s="601"/>
      <c r="AH131" s="601"/>
      <c r="AI131" s="601"/>
      <c r="AJ131" s="607"/>
      <c r="AK131" s="603"/>
    </row>
    <row r="132" spans="2:37" ht="12.75">
      <c r="B132" s="555"/>
      <c r="C132" s="104" t="s">
        <v>95</v>
      </c>
      <c r="D132" s="98" t="s">
        <v>18</v>
      </c>
      <c r="E132" s="1">
        <v>10</v>
      </c>
      <c r="F132" s="504" t="s">
        <v>23</v>
      </c>
      <c r="G132" s="61">
        <f aca="true" t="shared" si="51" ref="G132:G138">IF(E132=0,"",FamilyFactor*E132)</f>
        <v>10</v>
      </c>
      <c r="H132" s="270">
        <f aca="true" t="shared" si="52" ref="H132:H138">IF(P132=0,"",P132)</f>
      </c>
      <c r="I132" s="40">
        <f aca="true" t="shared" si="53" ref="I132:I138">IF(G132="","",IF(H132="",G132-0,G132-H132))</f>
        <v>10</v>
      </c>
      <c r="J132" s="19">
        <f aca="true" t="shared" si="54" ref="J132:J138">IF(G132="","",IF(H132="",G132/2-0,IF((G132/2-H132)&lt;=0,0,G132/2-H132)))</f>
        <v>5</v>
      </c>
      <c r="K132" s="20">
        <f aca="true" t="shared" si="55" ref="K132:K138">IF(G132="","",IF(H132="",G132/4-0,IF((G132/4-H132)&lt;=0,0,G132/4-H132)))</f>
        <v>2.5</v>
      </c>
      <c r="L132" s="21">
        <f>IF(H132="","",IF(D132="indefinite",0,IF(D132="varies","varies",H132/D132)))</f>
      </c>
      <c r="M132" s="108" t="str">
        <f>'Goals, Inventory, Budget'!C132</f>
        <v>white</v>
      </c>
      <c r="N132" s="11" t="str">
        <f>'Goals, Inventory, Budget'!F132</f>
        <v>lbs</v>
      </c>
      <c r="O132" s="60">
        <f>'Goals, Inventory, Budget'!G132</f>
        <v>10</v>
      </c>
      <c r="P132" s="227">
        <f aca="true" t="shared" si="56" ref="P132:P138">Q132*R132+S132*T132+U132*V132+X132*Y132</f>
        <v>0</v>
      </c>
      <c r="Q132" s="137"/>
      <c r="R132" s="138"/>
      <c r="S132" s="30"/>
      <c r="T132" s="31"/>
      <c r="U132" s="139"/>
      <c r="V132" s="140">
        <f aca="true" t="shared" si="57" ref="V132:V138">IF(R132=0,0,R132*5/0.75)</f>
        <v>0</v>
      </c>
      <c r="W132" s="1"/>
      <c r="X132" s="136"/>
      <c r="Y132" s="141"/>
      <c r="Z132" s="506" t="str">
        <f>'Goals, Inventory, Budget'!C132</f>
        <v>white</v>
      </c>
      <c r="AA132" s="61">
        <f>'Goals, Inventory, Budget'!G132</f>
        <v>10</v>
      </c>
      <c r="AB132" s="11" t="str">
        <f>'Goals, Inventory, Budget'!F132</f>
        <v>lbs</v>
      </c>
      <c r="AC132" s="74">
        <v>0.38</v>
      </c>
      <c r="AD132" s="40">
        <f>'Goals, Inventory, Budget'!I132</f>
        <v>10</v>
      </c>
      <c r="AE132" s="19">
        <f>'Goals, Inventory, Budget'!J132</f>
        <v>5</v>
      </c>
      <c r="AF132" s="20">
        <f>'Goals, Inventory, Budget'!K132</f>
        <v>2.5</v>
      </c>
      <c r="AG132" s="146">
        <f aca="true" t="shared" si="58" ref="AG132:AG138">IF(AA132="","",IF(AC132=0,"price?",AD132*AC132))</f>
        <v>3.8</v>
      </c>
      <c r="AH132" s="147">
        <f aca="true" t="shared" si="59" ref="AH132:AH138">IF(AA132="","",IF(AC132=0,"price?",AE132*AC132))</f>
        <v>1.9</v>
      </c>
      <c r="AI132" s="147">
        <f aca="true" t="shared" si="60" ref="AI132:AI138">IF(AA132="","",IF(AC132=0,"price?",AF132*AC132))</f>
        <v>0.95</v>
      </c>
      <c r="AJ132" s="236">
        <f aca="true" t="shared" si="61" ref="AJ132:AJ138">IF(AA132="","",IF(AC132=0,"price?",IF(AD132=0,0,AA132*AC132/12)))</f>
        <v>0.31666666666666665</v>
      </c>
      <c r="AK132" s="297"/>
    </row>
    <row r="133" spans="2:37" ht="12.75">
      <c r="B133" s="555"/>
      <c r="C133" s="168" t="s">
        <v>96</v>
      </c>
      <c r="D133" s="100" t="s">
        <v>18</v>
      </c>
      <c r="E133" s="2"/>
      <c r="F133" s="588" t="s">
        <v>23</v>
      </c>
      <c r="G133" s="61">
        <f t="shared" si="51"/>
      </c>
      <c r="H133" s="271">
        <f t="shared" si="52"/>
      </c>
      <c r="I133" s="40">
        <f t="shared" si="53"/>
      </c>
      <c r="J133" s="19">
        <f t="shared" si="54"/>
      </c>
      <c r="K133" s="20">
        <f t="shared" si="55"/>
      </c>
      <c r="L133" s="21">
        <f aca="true" t="shared" si="62" ref="L133:L138">IF(H133="","",IF(D133="indefinite",0,IF(D133="varies","varies",H133/D133)))</f>
      </c>
      <c r="M133" s="108" t="str">
        <f>'Goals, Inventory, Budget'!C133</f>
        <v>brown</v>
      </c>
      <c r="N133" s="11" t="str">
        <f>'Goals, Inventory, Budget'!F133</f>
        <v>lbs</v>
      </c>
      <c r="O133" s="60">
        <f>'Goals, Inventory, Budget'!G133</f>
      </c>
      <c r="P133" s="227">
        <f t="shared" si="56"/>
        <v>0</v>
      </c>
      <c r="Q133" s="137"/>
      <c r="R133" s="138"/>
      <c r="S133" s="30"/>
      <c r="T133" s="31"/>
      <c r="U133" s="139"/>
      <c r="V133" s="140">
        <f t="shared" si="57"/>
        <v>0</v>
      </c>
      <c r="W133" s="1"/>
      <c r="X133" s="136"/>
      <c r="Y133" s="141"/>
      <c r="Z133" s="589" t="str">
        <f>'Goals, Inventory, Budget'!C133</f>
        <v>brown</v>
      </c>
      <c r="AA133" s="61">
        <f>'Goals, Inventory, Budget'!G133</f>
      </c>
      <c r="AB133" s="22" t="str">
        <f>'Goals, Inventory, Budget'!F133</f>
        <v>lbs</v>
      </c>
      <c r="AC133" s="81"/>
      <c r="AD133" s="40">
        <f>'Goals, Inventory, Budget'!I133</f>
      </c>
      <c r="AE133" s="19">
        <f>'Goals, Inventory, Budget'!J133</f>
      </c>
      <c r="AF133" s="20">
        <f>'Goals, Inventory, Budget'!K133</f>
      </c>
      <c r="AG133" s="146">
        <f t="shared" si="58"/>
      </c>
      <c r="AH133" s="147">
        <f t="shared" si="59"/>
      </c>
      <c r="AI133" s="147">
        <f t="shared" si="60"/>
      </c>
      <c r="AJ133" s="236">
        <f t="shared" si="61"/>
      </c>
      <c r="AK133" s="297"/>
    </row>
    <row r="134" spans="2:37" ht="12.75">
      <c r="B134" s="555"/>
      <c r="C134" s="168" t="s">
        <v>97</v>
      </c>
      <c r="D134" s="100" t="s">
        <v>18</v>
      </c>
      <c r="E134" s="2"/>
      <c r="F134" s="588" t="s">
        <v>23</v>
      </c>
      <c r="G134" s="61">
        <f t="shared" si="51"/>
      </c>
      <c r="H134" s="271">
        <f t="shared" si="52"/>
      </c>
      <c r="I134" s="40">
        <f t="shared" si="53"/>
      </c>
      <c r="J134" s="19">
        <f t="shared" si="54"/>
      </c>
      <c r="K134" s="20">
        <f t="shared" si="55"/>
      </c>
      <c r="L134" s="21">
        <f t="shared" si="62"/>
      </c>
      <c r="M134" s="108" t="str">
        <f>'Goals, Inventory, Budget'!C134</f>
        <v>powdered</v>
      </c>
      <c r="N134" s="11" t="str">
        <f>'Goals, Inventory, Budget'!F134</f>
        <v>lbs</v>
      </c>
      <c r="O134" s="60">
        <f>'Goals, Inventory, Budget'!G134</f>
      </c>
      <c r="P134" s="227">
        <f t="shared" si="56"/>
        <v>0</v>
      </c>
      <c r="Q134" s="137"/>
      <c r="R134" s="138"/>
      <c r="S134" s="30"/>
      <c r="T134" s="31"/>
      <c r="U134" s="139"/>
      <c r="V134" s="140">
        <f t="shared" si="57"/>
        <v>0</v>
      </c>
      <c r="W134" s="1"/>
      <c r="X134" s="136"/>
      <c r="Y134" s="141"/>
      <c r="Z134" s="589" t="str">
        <f>'Goals, Inventory, Budget'!C134</f>
        <v>powdered</v>
      </c>
      <c r="AA134" s="61">
        <f>'Goals, Inventory, Budget'!G134</f>
      </c>
      <c r="AB134" s="22" t="str">
        <f>'Goals, Inventory, Budget'!F134</f>
        <v>lbs</v>
      </c>
      <c r="AC134" s="81"/>
      <c r="AD134" s="40">
        <f>'Goals, Inventory, Budget'!I134</f>
      </c>
      <c r="AE134" s="19">
        <f>'Goals, Inventory, Budget'!J134</f>
      </c>
      <c r="AF134" s="20">
        <f>'Goals, Inventory, Budget'!K134</f>
      </c>
      <c r="AG134" s="146">
        <f t="shared" si="58"/>
      </c>
      <c r="AH134" s="147">
        <f t="shared" si="59"/>
      </c>
      <c r="AI134" s="147">
        <f t="shared" si="60"/>
      </c>
      <c r="AJ134" s="236">
        <f t="shared" si="61"/>
      </c>
      <c r="AK134" s="297"/>
    </row>
    <row r="135" spans="2:37" ht="12.75">
      <c r="B135" s="555"/>
      <c r="C135" s="168" t="s">
        <v>98</v>
      </c>
      <c r="D135" s="100" t="s">
        <v>24</v>
      </c>
      <c r="E135" s="2"/>
      <c r="F135" s="588" t="s">
        <v>23</v>
      </c>
      <c r="G135" s="61">
        <f t="shared" si="51"/>
      </c>
      <c r="H135" s="271">
        <f t="shared" si="52"/>
      </c>
      <c r="I135" s="40">
        <f t="shared" si="53"/>
      </c>
      <c r="J135" s="19">
        <f t="shared" si="54"/>
      </c>
      <c r="K135" s="20">
        <f t="shared" si="55"/>
      </c>
      <c r="L135" s="21">
        <f t="shared" si="62"/>
      </c>
      <c r="M135" s="108" t="str">
        <f>'Goals, Inventory, Budget'!C135</f>
        <v>Maple sugar</v>
      </c>
      <c r="N135" s="11" t="str">
        <f>'Goals, Inventory, Budget'!F135</f>
        <v>lbs</v>
      </c>
      <c r="O135" s="60">
        <f>'Goals, Inventory, Budget'!G135</f>
      </c>
      <c r="P135" s="227">
        <f t="shared" si="56"/>
        <v>0</v>
      </c>
      <c r="Q135" s="137"/>
      <c r="R135" s="138"/>
      <c r="S135" s="30"/>
      <c r="T135" s="31"/>
      <c r="U135" s="139"/>
      <c r="V135" s="140">
        <f t="shared" si="57"/>
        <v>0</v>
      </c>
      <c r="W135" s="1"/>
      <c r="X135" s="136"/>
      <c r="Y135" s="141"/>
      <c r="Z135" s="589" t="str">
        <f>'Goals, Inventory, Budget'!C135</f>
        <v>Maple sugar</v>
      </c>
      <c r="AA135" s="61">
        <f>'Goals, Inventory, Budget'!G135</f>
      </c>
      <c r="AB135" s="22" t="str">
        <f>'Goals, Inventory, Budget'!F135</f>
        <v>lbs</v>
      </c>
      <c r="AC135" s="81"/>
      <c r="AD135" s="40">
        <f>'Goals, Inventory, Budget'!I135</f>
      </c>
      <c r="AE135" s="19">
        <f>'Goals, Inventory, Budget'!J135</f>
      </c>
      <c r="AF135" s="20">
        <f>'Goals, Inventory, Budget'!K135</f>
      </c>
      <c r="AG135" s="146">
        <f t="shared" si="58"/>
      </c>
      <c r="AH135" s="147">
        <f t="shared" si="59"/>
      </c>
      <c r="AI135" s="147">
        <f t="shared" si="60"/>
      </c>
      <c r="AJ135" s="236">
        <f t="shared" si="61"/>
      </c>
      <c r="AK135" s="297"/>
    </row>
    <row r="136" spans="2:37" ht="12.75">
      <c r="B136" s="555"/>
      <c r="C136" s="168" t="s">
        <v>161</v>
      </c>
      <c r="D136" s="100" t="s">
        <v>18</v>
      </c>
      <c r="E136" s="2"/>
      <c r="F136" s="588" t="s">
        <v>23</v>
      </c>
      <c r="G136" s="61">
        <f t="shared" si="51"/>
      </c>
      <c r="H136" s="271">
        <f t="shared" si="52"/>
      </c>
      <c r="I136" s="40">
        <f t="shared" si="53"/>
      </c>
      <c r="J136" s="19">
        <f t="shared" si="54"/>
      </c>
      <c r="K136" s="20">
        <f t="shared" si="55"/>
      </c>
      <c r="L136" s="21">
        <f t="shared" si="62"/>
      </c>
      <c r="M136" s="108" t="str">
        <f>'Goals, Inventory, Budget'!C136</f>
        <v>Powdered fruit drink </v>
      </c>
      <c r="N136" s="11" t="str">
        <f>'Goals, Inventory, Budget'!F136</f>
        <v>lbs</v>
      </c>
      <c r="O136" s="60">
        <f>'Goals, Inventory, Budget'!G136</f>
      </c>
      <c r="P136" s="227">
        <f t="shared" si="56"/>
        <v>0</v>
      </c>
      <c r="Q136" s="137"/>
      <c r="R136" s="138"/>
      <c r="S136" s="30"/>
      <c r="T136" s="31"/>
      <c r="U136" s="139"/>
      <c r="V136" s="140">
        <f t="shared" si="57"/>
        <v>0</v>
      </c>
      <c r="W136" s="1"/>
      <c r="X136" s="136"/>
      <c r="Y136" s="141"/>
      <c r="Z136" s="589" t="str">
        <f>'Goals, Inventory, Budget'!C136</f>
        <v>Powdered fruit drink </v>
      </c>
      <c r="AA136" s="61">
        <f>'Goals, Inventory, Budget'!G136</f>
      </c>
      <c r="AB136" s="22" t="str">
        <f>'Goals, Inventory, Budget'!F136</f>
        <v>lbs</v>
      </c>
      <c r="AC136" s="81">
        <v>0.92</v>
      </c>
      <c r="AD136" s="40">
        <f>'Goals, Inventory, Budget'!I136</f>
      </c>
      <c r="AE136" s="19">
        <f>'Goals, Inventory, Budget'!J136</f>
      </c>
      <c r="AF136" s="20">
        <f>'Goals, Inventory, Budget'!K136</f>
      </c>
      <c r="AG136" s="146">
        <f t="shared" si="58"/>
      </c>
      <c r="AH136" s="147">
        <f t="shared" si="59"/>
      </c>
      <c r="AI136" s="147">
        <f t="shared" si="60"/>
      </c>
      <c r="AJ136" s="236">
        <f t="shared" si="61"/>
      </c>
      <c r="AK136" s="297"/>
    </row>
    <row r="137" spans="2:37" ht="12.75">
      <c r="B137" s="555"/>
      <c r="C137" s="168" t="s">
        <v>162</v>
      </c>
      <c r="D137" s="100" t="s">
        <v>18</v>
      </c>
      <c r="E137" s="2"/>
      <c r="F137" s="588" t="s">
        <v>23</v>
      </c>
      <c r="G137" s="61">
        <f t="shared" si="51"/>
      </c>
      <c r="H137" s="271">
        <f t="shared" si="52"/>
      </c>
      <c r="I137" s="40">
        <f t="shared" si="53"/>
      </c>
      <c r="J137" s="19">
        <f t="shared" si="54"/>
      </c>
      <c r="K137" s="20">
        <f t="shared" si="55"/>
      </c>
      <c r="L137" s="21">
        <f t="shared" si="62"/>
      </c>
      <c r="M137" s="108" t="str">
        <f>'Goals, Inventory, Budget'!C137</f>
        <v>Flavored gelatin </v>
      </c>
      <c r="N137" s="11" t="str">
        <f>'Goals, Inventory, Budget'!F137</f>
        <v>lbs</v>
      </c>
      <c r="O137" s="60">
        <f>'Goals, Inventory, Budget'!G137</f>
      </c>
      <c r="P137" s="227">
        <f t="shared" si="56"/>
        <v>0</v>
      </c>
      <c r="Q137" s="137"/>
      <c r="R137" s="138"/>
      <c r="S137" s="30"/>
      <c r="T137" s="31"/>
      <c r="U137" s="139"/>
      <c r="V137" s="140">
        <f t="shared" si="57"/>
        <v>0</v>
      </c>
      <c r="W137" s="1"/>
      <c r="X137" s="136"/>
      <c r="Y137" s="141"/>
      <c r="Z137" s="589" t="str">
        <f>'Goals, Inventory, Budget'!C137</f>
        <v>Flavored gelatin </v>
      </c>
      <c r="AA137" s="61">
        <f>'Goals, Inventory, Budget'!G137</f>
      </c>
      <c r="AB137" s="22" t="str">
        <f>'Goals, Inventory, Budget'!F137</f>
        <v>lbs</v>
      </c>
      <c r="AC137" s="81"/>
      <c r="AD137" s="40">
        <f>'Goals, Inventory, Budget'!I137</f>
      </c>
      <c r="AE137" s="19">
        <f>'Goals, Inventory, Budget'!J137</f>
      </c>
      <c r="AF137" s="20">
        <f>'Goals, Inventory, Budget'!K137</f>
      </c>
      <c r="AG137" s="146">
        <f t="shared" si="58"/>
      </c>
      <c r="AH137" s="147">
        <f t="shared" si="59"/>
      </c>
      <c r="AI137" s="147">
        <f t="shared" si="60"/>
      </c>
      <c r="AJ137" s="236">
        <f t="shared" si="61"/>
      </c>
      <c r="AK137" s="297"/>
    </row>
    <row r="138" spans="2:37" ht="13.5" thickBot="1">
      <c r="B138" s="555"/>
      <c r="C138" s="168" t="s">
        <v>99</v>
      </c>
      <c r="D138" s="100" t="s">
        <v>18</v>
      </c>
      <c r="E138" s="2"/>
      <c r="F138" s="588" t="s">
        <v>23</v>
      </c>
      <c r="G138" s="61">
        <f t="shared" si="51"/>
      </c>
      <c r="H138" s="272">
        <f t="shared" si="52"/>
      </c>
      <c r="I138" s="73">
        <f t="shared" si="53"/>
      </c>
      <c r="J138" s="56">
        <f t="shared" si="54"/>
      </c>
      <c r="K138" s="57">
        <f t="shared" si="55"/>
      </c>
      <c r="L138" s="25">
        <f t="shared" si="62"/>
      </c>
      <c r="M138" s="108" t="str">
        <f>'Goals, Inventory, Budget'!C138</f>
        <v>sugar substitutes</v>
      </c>
      <c r="N138" s="11" t="str">
        <f>'Goals, Inventory, Budget'!F138</f>
        <v>lbs</v>
      </c>
      <c r="O138" s="60">
        <f>'Goals, Inventory, Budget'!G138</f>
      </c>
      <c r="P138" s="227">
        <f t="shared" si="56"/>
        <v>0</v>
      </c>
      <c r="Q138" s="137"/>
      <c r="R138" s="138"/>
      <c r="S138" s="30"/>
      <c r="T138" s="31"/>
      <c r="U138" s="139"/>
      <c r="V138" s="140">
        <f t="shared" si="57"/>
        <v>0</v>
      </c>
      <c r="W138" s="1"/>
      <c r="X138" s="136"/>
      <c r="Y138" s="141"/>
      <c r="Z138" s="589" t="str">
        <f>'Goals, Inventory, Budget'!C138</f>
        <v>sugar substitutes</v>
      </c>
      <c r="AA138" s="61">
        <f>'Goals, Inventory, Budget'!G138</f>
      </c>
      <c r="AB138" s="22" t="str">
        <f>'Goals, Inventory, Budget'!F138</f>
        <v>lbs</v>
      </c>
      <c r="AC138" s="81"/>
      <c r="AD138" s="73">
        <f>'Goals, Inventory, Budget'!I138</f>
      </c>
      <c r="AE138" s="56">
        <f>'Goals, Inventory, Budget'!J138</f>
      </c>
      <c r="AF138" s="57">
        <f>'Goals, Inventory, Budget'!K138</f>
      </c>
      <c r="AG138" s="148">
        <f t="shared" si="58"/>
      </c>
      <c r="AH138" s="149">
        <f t="shared" si="59"/>
      </c>
      <c r="AI138" s="149">
        <f t="shared" si="60"/>
      </c>
      <c r="AJ138" s="250">
        <f t="shared" si="61"/>
      </c>
      <c r="AK138" s="298"/>
    </row>
    <row r="139" spans="2:36" ht="14.25" thickBot="1" thickTop="1">
      <c r="B139" s="555"/>
      <c r="C139" s="679" t="s">
        <v>100</v>
      </c>
      <c r="D139" s="680"/>
      <c r="E139" s="122">
        <f>SUM(E132:E138)</f>
        <v>10</v>
      </c>
      <c r="F139" s="122" t="s">
        <v>23</v>
      </c>
      <c r="G139" s="59">
        <f>FamilyFactor*E139</f>
        <v>10</v>
      </c>
      <c r="H139" s="224">
        <f>P139</f>
        <v>0</v>
      </c>
      <c r="I139" s="41">
        <f>IF(G139="","",IF(H139="",G139-0,IF(G139&lt;H139,0,G139-H139)))</f>
        <v>10</v>
      </c>
      <c r="J139" s="52">
        <f>IF((G139/2-H139)&lt;=0,0,G139/2-H139)</f>
        <v>5</v>
      </c>
      <c r="K139" s="53">
        <f>IF((G139/4-H139)&lt;=0,0,G139/4-H139)</f>
        <v>2.5</v>
      </c>
      <c r="M139" s="177" t="str">
        <f>'Goals, Inventory, Budget'!C139</f>
        <v>Total sugar</v>
      </c>
      <c r="N139" s="126" t="str">
        <f>'Goals, Inventory, Budget'!F139</f>
        <v>lbs</v>
      </c>
      <c r="O139" s="59">
        <f>'Goals, Inventory, Budget'!G139</f>
        <v>10</v>
      </c>
      <c r="P139" s="224">
        <f>SUM(P132:P138)</f>
        <v>0</v>
      </c>
      <c r="Q139" s="591"/>
      <c r="R139" s="592"/>
      <c r="S139" s="593"/>
      <c r="T139" s="655"/>
      <c r="U139" s="216"/>
      <c r="V139" s="655"/>
      <c r="W139" s="551"/>
      <c r="X139" s="655"/>
      <c r="Y139" s="656"/>
      <c r="Z139" s="665" t="str">
        <f>'Goals, Inventory, Budget'!C139</f>
        <v>Total sugar</v>
      </c>
      <c r="AA139" s="59">
        <f>'Goals, Inventory, Budget'!G139</f>
        <v>10</v>
      </c>
      <c r="AB139" s="126" t="str">
        <f>'Goals, Inventory, Budget'!F139</f>
        <v>lbs</v>
      </c>
      <c r="AC139" s="84"/>
      <c r="AD139" s="41">
        <f>'Goals, Inventory, Budget'!I139</f>
        <v>10</v>
      </c>
      <c r="AE139" s="86">
        <f>'Goals, Inventory, Budget'!J139</f>
        <v>5</v>
      </c>
      <c r="AF139" s="87">
        <f>'Goals, Inventory, Budget'!K139</f>
        <v>2.5</v>
      </c>
      <c r="AG139" s="161">
        <f>SUM(AG132:AG138)</f>
        <v>3.8</v>
      </c>
      <c r="AH139" s="162">
        <f>SUM(AH132:AH138)</f>
        <v>1.9</v>
      </c>
      <c r="AI139" s="254">
        <f>SUM(AI132:AI138)</f>
        <v>0.95</v>
      </c>
      <c r="AJ139" s="248">
        <f>SUM(AJ132:AJ138)</f>
        <v>0.31666666666666665</v>
      </c>
    </row>
    <row r="140" spans="2:36" ht="64.5" thickBot="1">
      <c r="B140" s="555"/>
      <c r="C140" s="626" t="s">
        <v>101</v>
      </c>
      <c r="D140" s="627"/>
      <c r="E140" s="125" t="s">
        <v>276</v>
      </c>
      <c r="F140" s="125" t="s">
        <v>15</v>
      </c>
      <c r="G140" s="124" t="s">
        <v>190</v>
      </c>
      <c r="H140" s="124" t="s">
        <v>189</v>
      </c>
      <c r="I140" s="124" t="s">
        <v>55</v>
      </c>
      <c r="J140" s="124" t="s">
        <v>56</v>
      </c>
      <c r="K140" s="123" t="s">
        <v>57</v>
      </c>
      <c r="M140" s="133" t="str">
        <f>'Goals, Inventory, Budget'!C140</f>
        <v>Sweeteners - Honey, Sugar and Syrup</v>
      </c>
      <c r="N140" s="125" t="str">
        <f>'Goals, Inventory, Budget'!F140</f>
        <v>Units</v>
      </c>
      <c r="O140" s="124" t="str">
        <f>'Goals, Inventory, Budget'!G140</f>
        <v>Family Total Goal</v>
      </c>
      <c r="P140" s="124" t="str">
        <f>'Goals, Inventory, Budget'!H140</f>
        <v>In Inventory</v>
      </c>
      <c r="Q140" s="124" t="str">
        <f>'Goals, Inventory, Budget'!I140</f>
        <v>Still Need for 12 months</v>
      </c>
      <c r="R140" s="134" t="str">
        <f>'Goals, Inventory, Budget'!J140</f>
        <v>Still Need for 6 months</v>
      </c>
      <c r="S140" s="135" t="str">
        <f>'Goals, Inventory, Budget'!K140</f>
        <v>Still Need for 3 months</v>
      </c>
      <c r="Z140" s="657" t="str">
        <f>'Goals, Inventory, Budget'!C140</f>
        <v>Sweeteners - Honey, Sugar and Syrup</v>
      </c>
      <c r="AA140" s="124" t="str">
        <f>'Goals, Inventory, Budget'!G140</f>
        <v>Family Total Goal</v>
      </c>
      <c r="AB140" s="125" t="str">
        <f>'Goals, Inventory, Budget'!F140</f>
        <v>Units</v>
      </c>
      <c r="AC140" s="150" t="s">
        <v>209</v>
      </c>
      <c r="AD140" s="124" t="str">
        <f>'Goals, Inventory, Budget'!I140</f>
        <v>Still Need for 12 months</v>
      </c>
      <c r="AE140" s="658" t="str">
        <f>'Goals, Inventory, Budget'!J140</f>
        <v>Still Need for 6 months</v>
      </c>
      <c r="AF140" s="659" t="str">
        <f>'Goals, Inventory, Budget'!K140</f>
        <v>Still Need for 3 months</v>
      </c>
      <c r="AG140" s="660" t="s">
        <v>210</v>
      </c>
      <c r="AH140" s="660" t="s">
        <v>211</v>
      </c>
      <c r="AI140" s="661" t="s">
        <v>212</v>
      </c>
      <c r="AJ140" s="662" t="s">
        <v>281</v>
      </c>
    </row>
    <row r="141" spans="2:36" ht="14.25" thickBot="1" thickTop="1">
      <c r="B141" s="555"/>
      <c r="C141" s="635" t="s">
        <v>48</v>
      </c>
      <c r="D141" s="636"/>
      <c r="E141" s="676">
        <f>(E121+E130+E139)</f>
        <v>75</v>
      </c>
      <c r="F141" s="637" t="s">
        <v>23</v>
      </c>
      <c r="G141" s="67">
        <f>FamilyFactor*E141</f>
        <v>75</v>
      </c>
      <c r="H141" s="229">
        <f>P141</f>
        <v>0</v>
      </c>
      <c r="I141" s="43">
        <f>IF(G141="","",IF(H141="",G141-0,IF(G141&lt;H141,0,G141-H141)))</f>
        <v>75</v>
      </c>
      <c r="J141" s="54">
        <f>IF((G141/2-H141)&lt;=0,0,G141/2-H141)</f>
        <v>37.5</v>
      </c>
      <c r="K141" s="55">
        <f>IF((G141/4-H141)&lt;=0,0,G141/4-H141)</f>
        <v>18.75</v>
      </c>
      <c r="M141" s="128" t="str">
        <f>'Goals, Inventory, Budget'!C141</f>
        <v>Grand Total</v>
      </c>
      <c r="N141" s="129" t="str">
        <f>'Goals, Inventory, Budget'!F141</f>
        <v>lbs</v>
      </c>
      <c r="O141" s="67">
        <f>'Goals, Inventory, Budget'!G141</f>
        <v>75</v>
      </c>
      <c r="P141" s="229">
        <f>P124+P130+P139</f>
        <v>0</v>
      </c>
      <c r="Q141" s="43">
        <f>'Goals, Inventory, Budget'!I141</f>
        <v>75</v>
      </c>
      <c r="R141" s="54">
        <f>'Goals, Inventory, Budget'!J141</f>
        <v>37.5</v>
      </c>
      <c r="S141" s="49">
        <f>'Goals, Inventory, Budget'!K141</f>
        <v>18.75</v>
      </c>
      <c r="Z141" s="663" t="str">
        <f>'Goals, Inventory, Budget'!C141</f>
        <v>Grand Total</v>
      </c>
      <c r="AA141" s="67">
        <f>'Goals, Inventory, Budget'!G141</f>
        <v>75</v>
      </c>
      <c r="AB141" s="129" t="str">
        <f>'Goals, Inventory, Budget'!F141</f>
        <v>lbs</v>
      </c>
      <c r="AC141" s="83"/>
      <c r="AD141" s="43">
        <f>'Goals, Inventory, Budget'!I141</f>
        <v>75</v>
      </c>
      <c r="AE141" s="54">
        <f>'Goals, Inventory, Budget'!J141</f>
        <v>37.5</v>
      </c>
      <c r="AF141" s="55">
        <f>'Goals, Inventory, Budget'!K141</f>
        <v>18.75</v>
      </c>
      <c r="AG141" s="159">
        <f>AG124+AG130+AG139</f>
        <v>3.8</v>
      </c>
      <c r="AH141" s="160">
        <f>AH124+AH130+AH139</f>
        <v>1.9</v>
      </c>
      <c r="AI141" s="252">
        <f>AI124+AI130+AI139</f>
        <v>0.95</v>
      </c>
      <c r="AJ141" s="247">
        <f>AJ124+AJ130+AJ139</f>
        <v>0.31666666666666665</v>
      </c>
    </row>
    <row r="142" spans="2:40" s="199" customFormat="1" ht="14.25" thickBot="1" thickTop="1">
      <c r="B142" s="553"/>
      <c r="C142" s="205"/>
      <c r="D142" s="547"/>
      <c r="E142" s="202"/>
      <c r="F142" s="202"/>
      <c r="G142" s="201"/>
      <c r="H142" s="201"/>
      <c r="I142" s="203"/>
      <c r="J142" s="203"/>
      <c r="K142" s="203"/>
      <c r="L142" s="204"/>
      <c r="M142" s="205"/>
      <c r="N142" s="202"/>
      <c r="O142" s="201"/>
      <c r="P142" s="201"/>
      <c r="Q142" s="203"/>
      <c r="R142" s="204"/>
      <c r="S142" s="201"/>
      <c r="T142" s="204"/>
      <c r="U142" s="201"/>
      <c r="V142" s="204"/>
      <c r="W142" s="202"/>
      <c r="X142" s="204"/>
      <c r="Y142" s="201"/>
      <c r="Z142" s="554"/>
      <c r="AA142" s="201"/>
      <c r="AB142" s="202"/>
      <c r="AC142" s="208"/>
      <c r="AD142" s="203"/>
      <c r="AE142" s="201"/>
      <c r="AF142" s="206"/>
      <c r="AG142" s="207"/>
      <c r="AH142" s="208"/>
      <c r="AI142" s="208"/>
      <c r="AJ142" s="208"/>
      <c r="AK142" s="289"/>
      <c r="AL142" s="288"/>
      <c r="AM142" s="289"/>
      <c r="AN142" s="289"/>
    </row>
    <row r="143" spans="2:37" ht="48.75" thickBot="1" thickTop="1">
      <c r="B143" s="555" t="s">
        <v>109</v>
      </c>
      <c r="C143" s="638" t="s">
        <v>109</v>
      </c>
      <c r="D143" s="639"/>
      <c r="E143" s="639"/>
      <c r="F143" s="639"/>
      <c r="G143" s="639"/>
      <c r="H143" s="640"/>
      <c r="I143" s="557" t="s">
        <v>217</v>
      </c>
      <c r="J143" s="558">
        <f>'Storage Summary'!C10</f>
        <v>90</v>
      </c>
      <c r="K143" s="558" t="str">
        <f>'Storage Summary'!E10</f>
        <v>lbs</v>
      </c>
      <c r="L143" s="96" t="s">
        <v>188</v>
      </c>
      <c r="M143" s="304" t="str">
        <f>'Goals, Inventory, Budget'!C143</f>
        <v>Cooking Catalysts - Salts, oils, leaveners</v>
      </c>
      <c r="N143" s="305">
        <f>'Goals, Inventory, Budget'!F143</f>
        <v>0</v>
      </c>
      <c r="O143" s="305">
        <f>'Goals, Inventory, Budget'!G143</f>
        <v>0</v>
      </c>
      <c r="P143" s="305">
        <f>'Goals, Inventory, Budget'!H143</f>
        <v>0</v>
      </c>
      <c r="Q143" s="305" t="str">
        <f>'Goals, Inventory, Budget'!I143</f>
        <v>(Adult Total:</v>
      </c>
      <c r="R143" s="305">
        <f>'Goals, Inventory, Budget'!J143</f>
        <v>90</v>
      </c>
      <c r="S143" s="305" t="str">
        <f>'Goals, Inventory, Budget'!K143</f>
        <v>lbs</v>
      </c>
      <c r="T143" s="110"/>
      <c r="U143" s="112"/>
      <c r="V143" s="110"/>
      <c r="W143" s="111"/>
      <c r="X143" s="110"/>
      <c r="Y143" s="116"/>
      <c r="Z143" s="641" t="str">
        <f>'Goals, Inventory, Budget'!C143</f>
        <v>Cooking Catalysts - Salts, oils, leaveners</v>
      </c>
      <c r="AA143" s="642"/>
      <c r="AB143" s="642"/>
      <c r="AC143" s="642"/>
      <c r="AD143" s="642"/>
      <c r="AE143" s="643" t="str">
        <f>'Goals, Inventory, Budget'!I143</f>
        <v>(Adult Total:</v>
      </c>
      <c r="AF143" s="644">
        <f>'Goals, Inventory, Budget'!J143</f>
        <v>90</v>
      </c>
      <c r="AG143" s="644" t="str">
        <f>'Goals, Inventory, Budget'!K143</f>
        <v>lbs</v>
      </c>
      <c r="AH143" s="645" t="s">
        <v>188</v>
      </c>
      <c r="AI143" s="646"/>
      <c r="AJ143" s="647"/>
      <c r="AK143" s="292"/>
    </row>
    <row r="144" spans="2:37" ht="63.75">
      <c r="B144" s="555"/>
      <c r="C144" s="483" t="s">
        <v>13</v>
      </c>
      <c r="D144" s="484" t="s">
        <v>14</v>
      </c>
      <c r="E144" s="455" t="s">
        <v>276</v>
      </c>
      <c r="F144" s="455" t="s">
        <v>15</v>
      </c>
      <c r="G144" s="485" t="s">
        <v>190</v>
      </c>
      <c r="H144" s="485" t="s">
        <v>189</v>
      </c>
      <c r="I144" s="485" t="s">
        <v>55</v>
      </c>
      <c r="J144" s="485" t="s">
        <v>56</v>
      </c>
      <c r="K144" s="567" t="s">
        <v>57</v>
      </c>
      <c r="L144" s="46" t="s">
        <v>187</v>
      </c>
      <c r="M144" s="178" t="str">
        <f>'Goals, Inventory, Budget'!C144</f>
        <v>Storage Item</v>
      </c>
      <c r="N144" s="179" t="str">
        <f>'Goals, Inventory, Budget'!F144</f>
        <v>Units</v>
      </c>
      <c r="O144" s="180" t="str">
        <f>'Goals, Inventory, Budget'!G144</f>
        <v>Family Total Goal</v>
      </c>
      <c r="P144" s="180" t="str">
        <f>'Goals, Inventory, Budget'!H144</f>
        <v>In Inventory</v>
      </c>
      <c r="Q144" s="180" t="s">
        <v>191</v>
      </c>
      <c r="R144" s="181" t="s">
        <v>192</v>
      </c>
      <c r="S144" s="180" t="s">
        <v>193</v>
      </c>
      <c r="T144" s="182" t="s">
        <v>194</v>
      </c>
      <c r="U144" s="183" t="s">
        <v>195</v>
      </c>
      <c r="V144" s="182" t="s">
        <v>196</v>
      </c>
      <c r="W144" s="184" t="s">
        <v>197</v>
      </c>
      <c r="X144" s="185" t="s">
        <v>198</v>
      </c>
      <c r="Y144" s="186" t="s">
        <v>199</v>
      </c>
      <c r="Z144" s="483" t="str">
        <f>'Goals, Inventory, Budget'!C144</f>
        <v>Storage Item</v>
      </c>
      <c r="AA144" s="485" t="str">
        <f>'Goals, Inventory, Budget'!G144</f>
        <v>Family Total Goal</v>
      </c>
      <c r="AB144" s="455" t="str">
        <f>'Goals, Inventory, Budget'!F144</f>
        <v>Units</v>
      </c>
      <c r="AC144" s="648" t="s">
        <v>209</v>
      </c>
      <c r="AD144" s="485" t="str">
        <f>'Goals, Inventory, Budget'!I144</f>
        <v>Still Need for 12 months</v>
      </c>
      <c r="AE144" s="485" t="str">
        <f>'Goals, Inventory, Budget'!J144</f>
        <v>Still Need for 6 months</v>
      </c>
      <c r="AF144" s="567" t="str">
        <f>'Goals, Inventory, Budget'!K144</f>
        <v>Still Need for 3 months</v>
      </c>
      <c r="AG144" s="649" t="s">
        <v>210</v>
      </c>
      <c r="AH144" s="649" t="s">
        <v>211</v>
      </c>
      <c r="AI144" s="650" t="s">
        <v>212</v>
      </c>
      <c r="AJ144" s="651" t="s">
        <v>281</v>
      </c>
      <c r="AK144" s="290" t="s">
        <v>285</v>
      </c>
    </row>
    <row r="145" spans="2:37" ht="13.5" thickBot="1">
      <c r="B145" s="555"/>
      <c r="C145" s="681" t="s">
        <v>241</v>
      </c>
      <c r="D145" s="682"/>
      <c r="E145" s="682"/>
      <c r="F145" s="682"/>
      <c r="G145" s="682"/>
      <c r="H145" s="573" t="s">
        <v>232</v>
      </c>
      <c r="I145" s="597"/>
      <c r="J145" s="597"/>
      <c r="K145" s="598"/>
      <c r="L145" s="109">
        <f>E146/$J$143</f>
        <v>0.05555555555555555</v>
      </c>
      <c r="M145" s="302" t="str">
        <f>'Goals, Inventory, Budget'!C145</f>
        <v>Salt (Recommended: 6% of Major Category minimum)</v>
      </c>
      <c r="N145" s="303">
        <f>'Goals, Inventory, Budget'!F145</f>
        <v>0</v>
      </c>
      <c r="O145" s="303">
        <f>'Goals, Inventory, Budget'!G145</f>
        <v>0</v>
      </c>
      <c r="P145" s="303" t="str">
        <f>'Goals, Inventory, Budget'!H145</f>
        <v>Actual percentage of major category:</v>
      </c>
      <c r="Q145" s="303">
        <f>'Goals, Inventory, Budget'!I145</f>
        <v>0</v>
      </c>
      <c r="R145" s="303">
        <f>'Goals, Inventory, Budget'!J145</f>
        <v>0</v>
      </c>
      <c r="S145" s="303">
        <f>'Goals, Inventory, Budget'!K145</f>
        <v>0</v>
      </c>
      <c r="T145" s="114"/>
      <c r="U145" s="113"/>
      <c r="V145" s="114"/>
      <c r="W145" s="115"/>
      <c r="X145" s="114"/>
      <c r="Y145" s="121"/>
      <c r="Z145" s="683" t="str">
        <f>'Goals, Inventory, Budget'!C145</f>
        <v>Salt (Recommended: 6% of Major Category minimum)</v>
      </c>
      <c r="AA145" s="684"/>
      <c r="AB145" s="684"/>
      <c r="AC145" s="684"/>
      <c r="AD145" s="119"/>
      <c r="AE145" s="119"/>
      <c r="AF145" s="576"/>
      <c r="AG145" s="525"/>
      <c r="AH145" s="525"/>
      <c r="AI145" s="525"/>
      <c r="AJ145" s="577"/>
      <c r="AK145" s="677"/>
    </row>
    <row r="146" spans="2:37" ht="13.5" thickTop="1">
      <c r="B146" s="555"/>
      <c r="C146" s="171" t="s">
        <v>133</v>
      </c>
      <c r="D146" s="106" t="s">
        <v>18</v>
      </c>
      <c r="E146" s="107">
        <v>5</v>
      </c>
      <c r="F146" s="685" t="s">
        <v>23</v>
      </c>
      <c r="G146" s="59">
        <f>FamilyFactor*E146</f>
        <v>5</v>
      </c>
      <c r="H146" s="224">
        <f>P146</f>
        <v>0</v>
      </c>
      <c r="I146" s="41">
        <f>IF(G146="","",IF(H146="",G146-0,IF(G146&lt;H146,0,G146-H146)))</f>
        <v>5</v>
      </c>
      <c r="J146" s="52">
        <f>IF((G146/2-H146)&lt;=0,0,G146/2-H146)</f>
        <v>2.5</v>
      </c>
      <c r="K146" s="53">
        <f>IF((G146/4-H146)&lt;=0,0,G146/4-H146)</f>
        <v>1.25</v>
      </c>
      <c r="L146" s="21">
        <f>IF(H146="","",IF(D146="indefinite",0,IF(D146="varies","varies",H146/D146)))</f>
        <v>0</v>
      </c>
      <c r="M146" s="131" t="str">
        <f>'Goals, Inventory, Budget'!C146</f>
        <v>Salt - all kinds</v>
      </c>
      <c r="N146" s="130" t="str">
        <f>'Goals, Inventory, Budget'!F146</f>
        <v>lbs</v>
      </c>
      <c r="O146" s="68">
        <f>'Goals, Inventory, Budget'!G146</f>
        <v>5</v>
      </c>
      <c r="P146" s="226">
        <f>Q146*R146+S146*T146+U146*V146+X146*Y146</f>
        <v>0</v>
      </c>
      <c r="Q146" s="137"/>
      <c r="R146" s="138"/>
      <c r="S146" s="30"/>
      <c r="T146" s="31"/>
      <c r="U146" s="139"/>
      <c r="V146" s="140">
        <f>IF(R146=0,0,R146*5/0.75)</f>
        <v>0</v>
      </c>
      <c r="W146" s="1"/>
      <c r="X146" s="136"/>
      <c r="Y146" s="141"/>
      <c r="Z146" s="665" t="str">
        <f>'Goals, Inventory, Budget'!C146</f>
        <v>Salt - all kinds</v>
      </c>
      <c r="AA146" s="59">
        <f>'Goals, Inventory, Budget'!G146</f>
        <v>5</v>
      </c>
      <c r="AB146" s="126" t="str">
        <f>'Goals, Inventory, Budget'!F146</f>
        <v>lbs</v>
      </c>
      <c r="AC146" s="91">
        <v>0.41</v>
      </c>
      <c r="AD146" s="41">
        <f>'Goals, Inventory, Budget'!I146</f>
        <v>5</v>
      </c>
      <c r="AE146" s="52">
        <f>'Goals, Inventory, Budget'!J146</f>
        <v>2.5</v>
      </c>
      <c r="AF146" s="53">
        <f>'Goals, Inventory, Budget'!K146</f>
        <v>1.25</v>
      </c>
      <c r="AG146" s="144">
        <f>IF(AA146="","",IF(AC146=0,0,AD146*AC146))</f>
        <v>2.05</v>
      </c>
      <c r="AH146" s="163">
        <f>IF(AA146="","",IF(AC146=0,0,AE146*AC146))</f>
        <v>1.025</v>
      </c>
      <c r="AI146" s="163">
        <f>IF(AA146="","",IF(AC146=0,0,AF146*AC146))</f>
        <v>0.5125</v>
      </c>
      <c r="AJ146" s="256">
        <f>IF(AA146="","",IF(AC146=0,"price?",IF(AD146=0,0,AA146*AC146/12)))</f>
        <v>0.1708333333333333</v>
      </c>
      <c r="AK146" s="297"/>
    </row>
    <row r="147" spans="2:37" ht="12.75">
      <c r="B147" s="555"/>
      <c r="C147" s="498" t="s">
        <v>246</v>
      </c>
      <c r="D147" s="572"/>
      <c r="E147" s="572"/>
      <c r="F147" s="572"/>
      <c r="G147" s="572"/>
      <c r="H147" s="573" t="s">
        <v>232</v>
      </c>
      <c r="I147" s="597"/>
      <c r="J147" s="597"/>
      <c r="K147" s="598"/>
      <c r="L147" s="109">
        <f>E152/$J$143</f>
        <v>0.11388888888888889</v>
      </c>
      <c r="M147" s="302" t="str">
        <f>'Goals, Inventory, Budget'!C147</f>
        <v>Leaveners (Recommended: 10% of Major Category minimum)</v>
      </c>
      <c r="N147" s="303">
        <f>'Goals, Inventory, Budget'!F147</f>
        <v>0</v>
      </c>
      <c r="O147" s="303">
        <f>'Goals, Inventory, Budget'!G147</f>
        <v>0</v>
      </c>
      <c r="P147" s="303" t="str">
        <f>'Goals, Inventory, Budget'!H147</f>
        <v>Actual percentage of major category:</v>
      </c>
      <c r="Q147" s="303">
        <f>'Goals, Inventory, Budget'!I147</f>
        <v>0</v>
      </c>
      <c r="R147" s="303">
        <f>'Goals, Inventory, Budget'!J147</f>
        <v>0</v>
      </c>
      <c r="S147" s="303">
        <f>'Goals, Inventory, Budget'!K147</f>
        <v>0</v>
      </c>
      <c r="T147" s="666"/>
      <c r="U147" s="667"/>
      <c r="V147" s="666"/>
      <c r="W147" s="668"/>
      <c r="X147" s="666"/>
      <c r="Y147" s="669"/>
      <c r="Z147" s="686" t="str">
        <f>'Goals, Inventory, Budget'!C147</f>
        <v>Leaveners (Recommended: 10% of Major Category minimum)</v>
      </c>
      <c r="AA147" s="687"/>
      <c r="AB147" s="687"/>
      <c r="AC147" s="687"/>
      <c r="AD147" s="606"/>
      <c r="AE147" s="606"/>
      <c r="AF147" s="600"/>
      <c r="AG147" s="601"/>
      <c r="AH147" s="601"/>
      <c r="AI147" s="601"/>
      <c r="AJ147" s="607"/>
      <c r="AK147" s="294"/>
    </row>
    <row r="148" spans="2:37" ht="12.75">
      <c r="B148" s="555"/>
      <c r="C148" s="104" t="s">
        <v>102</v>
      </c>
      <c r="D148" s="98" t="s">
        <v>178</v>
      </c>
      <c r="E148" s="1">
        <v>0.5</v>
      </c>
      <c r="F148" s="504" t="s">
        <v>23</v>
      </c>
      <c r="G148" s="61">
        <f>IF(E148=0,"",FamilyFactor*E148)</f>
        <v>0.5</v>
      </c>
      <c r="H148" s="38">
        <f>IF(P148=0,"",P148)</f>
      </c>
      <c r="I148" s="40">
        <f>IF(G148="","",IF(H148="",G148-0,G148-H148))</f>
        <v>0.5</v>
      </c>
      <c r="J148" s="19">
        <f>IF(G148="","",IF(H148="",G148/2-0,IF((G148/2-H148)&lt;=0,0,G148/2-H148)))</f>
        <v>0.25</v>
      </c>
      <c r="K148" s="20">
        <f>IF(G148="","",IF(H148="",G148/4-0,IF((G148/4-H148)&lt;=0,0,G148/4-H148)))</f>
        <v>0.125</v>
      </c>
      <c r="L148" s="21">
        <f>IF(H148="","",IF(D148="indefinite",0,IF(D148="varies","varies",H148/D148)))</f>
      </c>
      <c r="M148" s="108" t="str">
        <f>'Goals, Inventory, Budget'!C148</f>
        <v>Yeast, active dry</v>
      </c>
      <c r="N148" s="11" t="str">
        <f>'Goals, Inventory, Budget'!F148</f>
        <v>lbs</v>
      </c>
      <c r="O148" s="60">
        <f>'Goals, Inventory, Budget'!G148</f>
        <v>0.5</v>
      </c>
      <c r="P148" s="227">
        <f>Q148*R148+S148*T148+U148*V148+X148*Y148</f>
        <v>0</v>
      </c>
      <c r="Q148" s="137"/>
      <c r="R148" s="138"/>
      <c r="S148" s="30"/>
      <c r="T148" s="31"/>
      <c r="U148" s="139"/>
      <c r="V148" s="140">
        <f>IF(R148=0,0,R148*5/0.75)</f>
        <v>0</v>
      </c>
      <c r="W148" s="1"/>
      <c r="X148" s="136"/>
      <c r="Y148" s="141"/>
      <c r="Z148" s="172" t="str">
        <f>'Goals, Inventory, Budget'!C148</f>
        <v>Yeast, active dry</v>
      </c>
      <c r="AA148" s="61">
        <f>'Goals, Inventory, Budget'!G148</f>
        <v>0.5</v>
      </c>
      <c r="AB148" s="11" t="str">
        <f>'Goals, Inventory, Budget'!F148</f>
        <v>lbs</v>
      </c>
      <c r="AC148" s="74"/>
      <c r="AD148" s="40">
        <f>'Goals, Inventory, Budget'!I148</f>
        <v>0.5</v>
      </c>
      <c r="AE148" s="19">
        <f>'Goals, Inventory, Budget'!J148</f>
        <v>0.25</v>
      </c>
      <c r="AF148" s="20">
        <f>'Goals, Inventory, Budget'!K148</f>
        <v>0.125</v>
      </c>
      <c r="AG148" s="146" t="str">
        <f>IF(AA148="","",IF(AC148=0,"price?",AD148*AC148))</f>
        <v>price?</v>
      </c>
      <c r="AH148" s="147" t="str">
        <f>IF(AA148="","",IF(AC148=0,"price?",AE148*AC148))</f>
        <v>price?</v>
      </c>
      <c r="AI148" s="147" t="str">
        <f>IF(AA148="","",IF(AC148=0,"price?",AF148*AC148))</f>
        <v>price?</v>
      </c>
      <c r="AJ148" s="236" t="str">
        <f>IF(AA148="","",IF(AC148=0,"price?",IF(AD148=0,0,AA148*AC148/12)))</f>
        <v>price?</v>
      </c>
      <c r="AK148" s="297"/>
    </row>
    <row r="149" spans="2:37" ht="12.75">
      <c r="B149" s="555"/>
      <c r="C149" s="104" t="s">
        <v>103</v>
      </c>
      <c r="D149" s="98" t="s">
        <v>181</v>
      </c>
      <c r="E149" s="1">
        <v>1</v>
      </c>
      <c r="F149" s="504" t="s">
        <v>23</v>
      </c>
      <c r="G149" s="61">
        <f>IF(E149=0,"",FamilyFactor*E149)</f>
        <v>1</v>
      </c>
      <c r="H149" s="38">
        <f>IF(P149=0,"",P149)</f>
      </c>
      <c r="I149" s="40">
        <f>IF(G149="","",IF(H149="",G149-0,G149-H149))</f>
        <v>1</v>
      </c>
      <c r="J149" s="19">
        <f>IF(G149="","",IF(H149="",G149/2-0,IF((G149/2-H149)&lt;=0,0,G149/2-H149)))</f>
        <v>0.5</v>
      </c>
      <c r="K149" s="20">
        <f>IF(G149="","",IF(H149="",G149/4-0,IF((G149/4-H149)&lt;=0,0,G149/4-H149)))</f>
        <v>0.25</v>
      </c>
      <c r="L149" s="21">
        <f>IF(H149="","",IF(D149="indefinite",0,IF(D149="varies","varies",H149/D149)))</f>
      </c>
      <c r="M149" s="108" t="str">
        <f>'Goals, Inventory, Budget'!C149</f>
        <v>baking powder</v>
      </c>
      <c r="N149" s="11" t="str">
        <f>'Goals, Inventory, Budget'!F149</f>
        <v>lbs</v>
      </c>
      <c r="O149" s="60">
        <f>'Goals, Inventory, Budget'!G149</f>
        <v>1</v>
      </c>
      <c r="P149" s="227">
        <f>Q149*R149+S149*T149+U149*V149+X149*Y149</f>
        <v>0</v>
      </c>
      <c r="Q149" s="137"/>
      <c r="R149" s="138"/>
      <c r="S149" s="30"/>
      <c r="T149" s="31"/>
      <c r="U149" s="139"/>
      <c r="V149" s="140">
        <f>IF(R149=0,0,R149*5/0.75)</f>
        <v>0</v>
      </c>
      <c r="W149" s="1"/>
      <c r="X149" s="136"/>
      <c r="Y149" s="141"/>
      <c r="Z149" s="172" t="str">
        <f>'Goals, Inventory, Budget'!C149</f>
        <v>baking powder</v>
      </c>
      <c r="AA149" s="61">
        <f>'Goals, Inventory, Budget'!G149</f>
        <v>1</v>
      </c>
      <c r="AB149" s="11" t="str">
        <f>'Goals, Inventory, Budget'!F149</f>
        <v>lbs</v>
      </c>
      <c r="AC149" s="74"/>
      <c r="AD149" s="40">
        <f>'Goals, Inventory, Budget'!I149</f>
        <v>1</v>
      </c>
      <c r="AE149" s="19">
        <f>'Goals, Inventory, Budget'!J149</f>
        <v>0.5</v>
      </c>
      <c r="AF149" s="20">
        <f>'Goals, Inventory, Budget'!K149</f>
        <v>0.25</v>
      </c>
      <c r="AG149" s="146" t="str">
        <f>IF(AA149="","",IF(AC149=0,"price?",AD149*AC149))</f>
        <v>price?</v>
      </c>
      <c r="AH149" s="147" t="str">
        <f>IF(AA149="","",IF(AC149=0,"price?",AE149*AC149))</f>
        <v>price?</v>
      </c>
      <c r="AI149" s="147" t="str">
        <f>IF(AA149="","",IF(AC149=0,"price?",AF149*AC149))</f>
        <v>price?</v>
      </c>
      <c r="AJ149" s="236" t="str">
        <f>IF(AA149="","",IF(AC149=0,"price?",IF(AD149=0,0,AA149*AC149/12)))</f>
        <v>price?</v>
      </c>
      <c r="AK149" s="297"/>
    </row>
    <row r="150" spans="2:37" ht="12.75">
      <c r="B150" s="555"/>
      <c r="C150" s="9" t="s">
        <v>104</v>
      </c>
      <c r="D150" s="105" t="s">
        <v>178</v>
      </c>
      <c r="E150" s="6">
        <v>1</v>
      </c>
      <c r="F150" s="513" t="s">
        <v>23</v>
      </c>
      <c r="G150" s="66">
        <f>IF(E150=0,"",FamilyFactor*E150)</f>
        <v>1</v>
      </c>
      <c r="H150" s="37">
        <f>IF(P150=0,"",P150)</f>
      </c>
      <c r="I150" s="40">
        <f>IF(G150="","",IF(H150="",G150-0,G150-H150))</f>
        <v>1</v>
      </c>
      <c r="J150" s="19">
        <f>IF(G150="","",IF(H150="",G150/2-0,IF((G150/2-H150)&lt;=0,0,G150/2-H150)))</f>
        <v>0.5</v>
      </c>
      <c r="K150" s="20">
        <f>IF(G150="","",IF(H150="",G150/4-0,IF((G150/4-H150)&lt;=0,0,G150/4-H150)))</f>
        <v>0.25</v>
      </c>
      <c r="L150" s="21">
        <f>IF(H150="","",IF(D150="indefinite",0,IF(D150="varies","varies",H150/D150)))</f>
      </c>
      <c r="M150" s="108" t="str">
        <f>'Goals, Inventory, Budget'!C150</f>
        <v>Baking soda</v>
      </c>
      <c r="N150" s="11" t="str">
        <f>'Goals, Inventory, Budget'!F150</f>
        <v>lbs</v>
      </c>
      <c r="O150" s="60">
        <f>'Goals, Inventory, Budget'!G150</f>
        <v>1</v>
      </c>
      <c r="P150" s="227">
        <f>Q150*R150+S150*T150+U150*V150+X150*Y150</f>
        <v>0</v>
      </c>
      <c r="Q150" s="137"/>
      <c r="R150" s="138"/>
      <c r="S150" s="30"/>
      <c r="T150" s="31"/>
      <c r="U150" s="139"/>
      <c r="V150" s="140">
        <f>IF(R150=0,0,R150*5/0.75)</f>
        <v>0</v>
      </c>
      <c r="W150" s="1"/>
      <c r="X150" s="136"/>
      <c r="Y150" s="141"/>
      <c r="Z150" s="132" t="str">
        <f>'Goals, Inventory, Budget'!C150</f>
        <v>Baking soda</v>
      </c>
      <c r="AA150" s="66">
        <f>'Goals, Inventory, Budget'!G150</f>
        <v>1</v>
      </c>
      <c r="AB150" s="26" t="str">
        <f>'Goals, Inventory, Budget'!F150</f>
        <v>lbs</v>
      </c>
      <c r="AC150" s="90"/>
      <c r="AD150" s="40">
        <f>'Goals, Inventory, Budget'!I150</f>
        <v>1</v>
      </c>
      <c r="AE150" s="19">
        <f>'Goals, Inventory, Budget'!J150</f>
        <v>0.5</v>
      </c>
      <c r="AF150" s="20">
        <f>'Goals, Inventory, Budget'!K150</f>
        <v>0.25</v>
      </c>
      <c r="AG150" s="146" t="str">
        <f>IF(AA150="","",IF(AC150=0,"price?",AD150*AC150))</f>
        <v>price?</v>
      </c>
      <c r="AH150" s="147" t="str">
        <f>IF(AA150="","",IF(AC150=0,"price?",AE150*AC150))</f>
        <v>price?</v>
      </c>
      <c r="AI150" s="147" t="str">
        <f>IF(AA150="","",IF(AC150=0,"price?",AF150*AC150))</f>
        <v>price?</v>
      </c>
      <c r="AJ150" s="236" t="str">
        <f>IF(AA150="","",IF(AC150=0,"price?",IF(AD150=0,0,AA150*AC150/12)))</f>
        <v>price?</v>
      </c>
      <c r="AK150" s="297"/>
    </row>
    <row r="151" spans="2:37" ht="13.5" thickBot="1">
      <c r="B151" s="555"/>
      <c r="C151" s="9" t="s">
        <v>245</v>
      </c>
      <c r="D151" s="105"/>
      <c r="E151" s="6">
        <v>1</v>
      </c>
      <c r="F151" s="513" t="s">
        <v>106</v>
      </c>
      <c r="G151" s="66">
        <f>IF(E151=0,"",FamilyFactor*E151)</f>
        <v>1</v>
      </c>
      <c r="H151" s="37">
        <f>IF(P151=0,"",P151)</f>
      </c>
      <c r="I151" s="73">
        <f>IF(G151="","",IF(H151="",G151-0,G151-H151))</f>
        <v>1</v>
      </c>
      <c r="J151" s="56">
        <f>IF(G151="","",IF(H151="",G151/2-0,IF((G151/2-H151)&lt;=0,0,G151/2-H151)))</f>
        <v>0.5</v>
      </c>
      <c r="K151" s="57">
        <f>IF(G151="","",IF(H151="",G151/4-0,IF((G151/4-H151)&lt;=0,0,G151/4-H151)))</f>
        <v>0.25</v>
      </c>
      <c r="L151" s="21">
        <f>IF(H151="","",IF(D151="indefinite",0,IF(D151="varies","varies",H151/D151)))</f>
      </c>
      <c r="M151" s="108" t="str">
        <f>'Goals, Inventory, Budget'!C151</f>
        <v>Vinegar (7.75 lb/gal)</v>
      </c>
      <c r="N151" s="11" t="str">
        <f>'Goals, Inventory, Budget'!F151</f>
        <v>gal</v>
      </c>
      <c r="O151" s="60">
        <f>'Goals, Inventory, Budget'!G151</f>
        <v>1</v>
      </c>
      <c r="P151" s="227">
        <f>Q151*R151+S151*T151+U151*V151+X151*Y151</f>
        <v>0</v>
      </c>
      <c r="Q151" s="137"/>
      <c r="R151" s="138"/>
      <c r="S151" s="30"/>
      <c r="T151" s="31"/>
      <c r="U151" s="139"/>
      <c r="V151" s="140">
        <f>IF(R151=0,0,R151*5/0.75)</f>
        <v>0</v>
      </c>
      <c r="W151" s="1"/>
      <c r="X151" s="136"/>
      <c r="Y151" s="141"/>
      <c r="Z151" s="132" t="str">
        <f>'Goals, Inventory, Budget'!C151</f>
        <v>Vinegar (7.75 lb/gal)</v>
      </c>
      <c r="AA151" s="66">
        <f>'Goals, Inventory, Budget'!G151</f>
        <v>1</v>
      </c>
      <c r="AB151" s="26" t="str">
        <f>'Goals, Inventory, Budget'!F151</f>
        <v>gal</v>
      </c>
      <c r="AC151" s="90"/>
      <c r="AD151" s="73">
        <f>'Goals, Inventory, Budget'!I151</f>
        <v>1</v>
      </c>
      <c r="AE151" s="56">
        <f>'Goals, Inventory, Budget'!J151</f>
        <v>0.5</v>
      </c>
      <c r="AF151" s="57">
        <f>'Goals, Inventory, Budget'!K151</f>
        <v>0.25</v>
      </c>
      <c r="AG151" s="148" t="str">
        <f>IF(AA151="","",IF(AC151=0,"price?",AD151*AC151))</f>
        <v>price?</v>
      </c>
      <c r="AH151" s="149" t="str">
        <f>IF(AA151="","",IF(AC151=0,"price?",AE151*AC151))</f>
        <v>price?</v>
      </c>
      <c r="AI151" s="149" t="str">
        <f>IF(AA151="","",IF(AC151=0,"price?",AF151*AC151))</f>
        <v>price?</v>
      </c>
      <c r="AJ151" s="250" t="str">
        <f>IF(AA151="","",IF(AC151=0,"price?",IF(AD151=0,0,AA151*AC151/12)))</f>
        <v>price?</v>
      </c>
      <c r="AK151" s="296"/>
    </row>
    <row r="152" spans="2:37" ht="13.5" thickTop="1">
      <c r="B152" s="555"/>
      <c r="C152" s="517" t="s">
        <v>105</v>
      </c>
      <c r="D152" s="664"/>
      <c r="E152" s="688">
        <f>SUM(E148:E150)+7.75*E151</f>
        <v>10.25</v>
      </c>
      <c r="F152" s="122" t="s">
        <v>23</v>
      </c>
      <c r="G152" s="59">
        <f>FamilyFactor*E152</f>
        <v>10.25</v>
      </c>
      <c r="H152" s="224">
        <f>P152</f>
        <v>0</v>
      </c>
      <c r="I152" s="41">
        <f>G152-H152</f>
        <v>10.25</v>
      </c>
      <c r="J152" s="52">
        <f>IF((G152/2-H152)&lt;=0,0,G152/2-H152)</f>
        <v>5.125</v>
      </c>
      <c r="K152" s="53">
        <f>IF((G152/4-H152)&lt;=0,0,G152/4-H152)</f>
        <v>2.5625</v>
      </c>
      <c r="L152" s="27"/>
      <c r="M152" s="177" t="str">
        <f>'Goals, Inventory, Budget'!C152</f>
        <v>Total Leaveners</v>
      </c>
      <c r="N152" s="126" t="str">
        <f>'Goals, Inventory, Budget'!F152</f>
        <v>lbs</v>
      </c>
      <c r="O152" s="59">
        <f>'Goals, Inventory, Budget'!G152</f>
        <v>10.25</v>
      </c>
      <c r="P152" s="224">
        <f>SUM(P148:P151)</f>
        <v>0</v>
      </c>
      <c r="Q152" s="591"/>
      <c r="R152" s="592"/>
      <c r="S152" s="593"/>
      <c r="T152" s="592"/>
      <c r="U152" s="593"/>
      <c r="V152" s="592"/>
      <c r="W152" s="594"/>
      <c r="X152" s="592"/>
      <c r="Y152" s="595"/>
      <c r="Z152" s="665" t="str">
        <f>'Goals, Inventory, Budget'!C152</f>
        <v>Total Leaveners</v>
      </c>
      <c r="AA152" s="59">
        <f>'Goals, Inventory, Budget'!G152</f>
        <v>10.25</v>
      </c>
      <c r="AB152" s="126" t="str">
        <f>'Goals, Inventory, Budget'!F152</f>
        <v>lbs</v>
      </c>
      <c r="AC152" s="84"/>
      <c r="AD152" s="41">
        <f>'Goals, Inventory, Budget'!I152</f>
        <v>10.25</v>
      </c>
      <c r="AE152" s="52">
        <f>'Goals, Inventory, Budget'!J152</f>
        <v>5.125</v>
      </c>
      <c r="AF152" s="53">
        <f>'Goals, Inventory, Budget'!K152</f>
        <v>2.5625</v>
      </c>
      <c r="AG152" s="144">
        <f>SUM(AG148:AG151)</f>
        <v>0</v>
      </c>
      <c r="AH152" s="145">
        <f>SUM(AH148:AH151)</f>
        <v>0</v>
      </c>
      <c r="AI152" s="233">
        <f>SUM(AI148:AI151)</f>
        <v>0</v>
      </c>
      <c r="AJ152" s="249">
        <f>SUM(AJ148:AJ151)</f>
        <v>0</v>
      </c>
      <c r="AK152" s="654"/>
    </row>
    <row r="153" spans="2:37" ht="12.75">
      <c r="B153" s="555"/>
      <c r="C153" s="498" t="s">
        <v>247</v>
      </c>
      <c r="D153" s="572"/>
      <c r="E153" s="572"/>
      <c r="F153" s="572"/>
      <c r="G153" s="572"/>
      <c r="H153" s="573" t="s">
        <v>232</v>
      </c>
      <c r="I153" s="597"/>
      <c r="J153" s="597"/>
      <c r="K153" s="598"/>
      <c r="L153" s="109">
        <f>E161/$J$143</f>
        <v>0.8333333333333334</v>
      </c>
      <c r="M153" s="302" t="str">
        <f>'Goals, Inventory, Budget'!C153</f>
        <v>Oils, fats, shortening (Recommended: 80% of Major Category minimum)</v>
      </c>
      <c r="N153" s="303">
        <f>'Goals, Inventory, Budget'!F153</f>
        <v>0</v>
      </c>
      <c r="O153" s="303">
        <f>'Goals, Inventory, Budget'!G153</f>
        <v>0</v>
      </c>
      <c r="P153" s="303" t="str">
        <f>'Goals, Inventory, Budget'!H153</f>
        <v>Actual percentage of major category:</v>
      </c>
      <c r="Q153" s="303">
        <f>'Goals, Inventory, Budget'!I153</f>
        <v>0</v>
      </c>
      <c r="R153" s="303">
        <f>'Goals, Inventory, Budget'!J153</f>
        <v>0</v>
      </c>
      <c r="S153" s="303">
        <f>'Goals, Inventory, Budget'!K153</f>
        <v>0</v>
      </c>
      <c r="T153" s="114"/>
      <c r="U153" s="113"/>
      <c r="V153" s="114"/>
      <c r="W153" s="115"/>
      <c r="X153" s="114"/>
      <c r="Y153" s="121"/>
      <c r="Z153" s="686" t="str">
        <f>'Goals, Inventory, Budget'!C153</f>
        <v>Oils, fats, shortening (Recommended: 80% of Major Category minimum)</v>
      </c>
      <c r="AA153" s="687"/>
      <c r="AB153" s="687"/>
      <c r="AC153" s="687"/>
      <c r="AD153" s="606"/>
      <c r="AE153" s="606"/>
      <c r="AF153" s="600"/>
      <c r="AG153" s="601"/>
      <c r="AH153" s="601"/>
      <c r="AI153" s="601"/>
      <c r="AJ153" s="607"/>
      <c r="AK153" s="603"/>
    </row>
    <row r="154" spans="2:37" ht="12.75">
      <c r="B154" s="555"/>
      <c r="C154" s="104" t="s">
        <v>242</v>
      </c>
      <c r="D154" s="98" t="s">
        <v>178</v>
      </c>
      <c r="E154" s="1">
        <v>10</v>
      </c>
      <c r="F154" s="504" t="s">
        <v>106</v>
      </c>
      <c r="G154" s="61">
        <f aca="true" t="shared" si="63" ref="G154:G160">IF(E154=0,"",FamilyFactor*E154)</f>
        <v>10</v>
      </c>
      <c r="H154" s="38">
        <f aca="true" t="shared" si="64" ref="H154:H160">IF(P154=0,"",P154)</f>
      </c>
      <c r="I154" s="40">
        <f aca="true" t="shared" si="65" ref="I154:I160">IF(G154="","",IF(H154="",G154-0,G154-H154))</f>
        <v>10</v>
      </c>
      <c r="J154" s="19">
        <f aca="true" t="shared" si="66" ref="J154:J160">IF(G154="","",IF(H154="",G154/2-0,IF((G154/2-H154)&lt;=0,0,G154/2-H154)))</f>
        <v>5</v>
      </c>
      <c r="K154" s="20">
        <f aca="true" t="shared" si="67" ref="K154:K160">IF(G154="","",IF(H154="",G154/4-0,IF((G154/4-H154)&lt;=0,0,G154/4-H154)))</f>
        <v>2.5</v>
      </c>
      <c r="L154" s="21">
        <f aca="true" t="shared" si="68" ref="L154:L160">IF(H154="","",IF(D154="indefinite",0,IF(D154="varies","varies",H154/D154)))</f>
      </c>
      <c r="M154" s="108" t="str">
        <f>'Goals, Inventory, Budget'!C154</f>
        <v>vegetable oil (7.5 lbs/gal.)</v>
      </c>
      <c r="N154" s="11" t="str">
        <f>'Goals, Inventory, Budget'!F154</f>
        <v>gal</v>
      </c>
      <c r="O154" s="60">
        <f>'Goals, Inventory, Budget'!G154</f>
        <v>10</v>
      </c>
      <c r="P154" s="227">
        <f aca="true" t="shared" si="69" ref="P154:P160">Q154*R154+S154*T154+U154*V154+X154*Y154</f>
        <v>0</v>
      </c>
      <c r="Q154" s="137"/>
      <c r="R154" s="138"/>
      <c r="S154" s="30"/>
      <c r="T154" s="31"/>
      <c r="U154" s="139"/>
      <c r="V154" s="140">
        <f aca="true" t="shared" si="70" ref="V154:V160">IF(R154=0,0,R154*5/0.75)</f>
        <v>0</v>
      </c>
      <c r="W154" s="1"/>
      <c r="X154" s="136"/>
      <c r="Y154" s="141"/>
      <c r="Z154" s="506" t="str">
        <f>'Goals, Inventory, Budget'!C154</f>
        <v>vegetable oil (7.5 lbs/gal.)</v>
      </c>
      <c r="AA154" s="61">
        <f>'Goals, Inventory, Budget'!G154</f>
        <v>10</v>
      </c>
      <c r="AB154" s="11" t="str">
        <f>'Goals, Inventory, Budget'!F154</f>
        <v>gal</v>
      </c>
      <c r="AC154" s="74">
        <v>5.17</v>
      </c>
      <c r="AD154" s="40">
        <f>'Goals, Inventory, Budget'!I154</f>
        <v>10</v>
      </c>
      <c r="AE154" s="19">
        <f>'Goals, Inventory, Budget'!J154</f>
        <v>5</v>
      </c>
      <c r="AF154" s="20">
        <f>'Goals, Inventory, Budget'!K154</f>
        <v>2.5</v>
      </c>
      <c r="AG154" s="146">
        <f aca="true" t="shared" si="71" ref="AG154:AG160">IF(AA154="","",IF(AC154=0,"price?",AD154*AC154))</f>
        <v>51.7</v>
      </c>
      <c r="AH154" s="147">
        <f aca="true" t="shared" si="72" ref="AH154:AH160">IF(AA154="","",IF(AC154=0,"price?",AE154*AC154))</f>
        <v>25.85</v>
      </c>
      <c r="AI154" s="147">
        <f aca="true" t="shared" si="73" ref="AI154:AI160">IF(AA154="","",IF(AC154=0,"price?",AF154*AC154))</f>
        <v>12.925</v>
      </c>
      <c r="AJ154" s="236">
        <f aca="true" t="shared" si="74" ref="AJ154:AJ160">IF(AA154="","",IF(AC154=0,"price?",IF(AD154=0,0,AA154*AC154/12)))</f>
        <v>4.308333333333334</v>
      </c>
      <c r="AK154" s="297"/>
    </row>
    <row r="155" spans="2:37" ht="12.75">
      <c r="B155" s="555"/>
      <c r="C155" s="168" t="s">
        <v>135</v>
      </c>
      <c r="D155" s="100" t="s">
        <v>19</v>
      </c>
      <c r="E155" s="2"/>
      <c r="F155" s="588" t="s">
        <v>23</v>
      </c>
      <c r="G155" s="61">
        <f t="shared" si="63"/>
      </c>
      <c r="H155" s="38">
        <f t="shared" si="64"/>
      </c>
      <c r="I155" s="40">
        <f t="shared" si="65"/>
      </c>
      <c r="J155" s="19">
        <f t="shared" si="66"/>
      </c>
      <c r="K155" s="20">
        <f t="shared" si="67"/>
      </c>
      <c r="L155" s="21">
        <f t="shared" si="68"/>
      </c>
      <c r="M155" s="108" t="str">
        <f>'Goals, Inventory, Budget'!C155</f>
        <v>lard</v>
      </c>
      <c r="N155" s="11" t="str">
        <f>'Goals, Inventory, Budget'!F155</f>
        <v>lbs</v>
      </c>
      <c r="O155" s="60">
        <f>'Goals, Inventory, Budget'!G155</f>
      </c>
      <c r="P155" s="227">
        <f t="shared" si="69"/>
        <v>0</v>
      </c>
      <c r="Q155" s="137"/>
      <c r="R155" s="138"/>
      <c r="S155" s="30"/>
      <c r="T155" s="31"/>
      <c r="U155" s="139"/>
      <c r="V155" s="140">
        <f t="shared" si="70"/>
        <v>0</v>
      </c>
      <c r="W155" s="1"/>
      <c r="X155" s="136"/>
      <c r="Y155" s="141"/>
      <c r="Z155" s="589" t="str">
        <f>'Goals, Inventory, Budget'!C155</f>
        <v>lard</v>
      </c>
      <c r="AA155" s="61">
        <f>'Goals, Inventory, Budget'!G155</f>
      </c>
      <c r="AB155" s="22" t="str">
        <f>'Goals, Inventory, Budget'!F155</f>
        <v>lbs</v>
      </c>
      <c r="AC155" s="81"/>
      <c r="AD155" s="40">
        <f>'Goals, Inventory, Budget'!I155</f>
      </c>
      <c r="AE155" s="19">
        <f>'Goals, Inventory, Budget'!J155</f>
      </c>
      <c r="AF155" s="20">
        <f>'Goals, Inventory, Budget'!K155</f>
      </c>
      <c r="AG155" s="146">
        <f t="shared" si="71"/>
      </c>
      <c r="AH155" s="147">
        <f t="shared" si="72"/>
      </c>
      <c r="AI155" s="147">
        <f t="shared" si="73"/>
      </c>
      <c r="AJ155" s="236">
        <f t="shared" si="74"/>
      </c>
      <c r="AK155" s="297"/>
    </row>
    <row r="156" spans="2:37" ht="12.75">
      <c r="B156" s="555"/>
      <c r="C156" s="168" t="s">
        <v>136</v>
      </c>
      <c r="D156" s="100" t="s">
        <v>179</v>
      </c>
      <c r="E156" s="2"/>
      <c r="F156" s="588" t="s">
        <v>23</v>
      </c>
      <c r="G156" s="61">
        <f t="shared" si="63"/>
      </c>
      <c r="H156" s="38">
        <f t="shared" si="64"/>
      </c>
      <c r="I156" s="40">
        <f t="shared" si="65"/>
      </c>
      <c r="J156" s="19">
        <f t="shared" si="66"/>
      </c>
      <c r="K156" s="20">
        <f t="shared" si="67"/>
      </c>
      <c r="L156" s="21">
        <f t="shared" si="68"/>
      </c>
      <c r="M156" s="108" t="str">
        <f>'Goals, Inventory, Budget'!C156</f>
        <v>sesame</v>
      </c>
      <c r="N156" s="11" t="str">
        <f>'Goals, Inventory, Budget'!F156</f>
        <v>lbs</v>
      </c>
      <c r="O156" s="60">
        <f>'Goals, Inventory, Budget'!G156</f>
      </c>
      <c r="P156" s="227">
        <f t="shared" si="69"/>
        <v>0</v>
      </c>
      <c r="Q156" s="137"/>
      <c r="R156" s="138"/>
      <c r="S156" s="30"/>
      <c r="T156" s="31"/>
      <c r="U156" s="139"/>
      <c r="V156" s="140">
        <f t="shared" si="70"/>
        <v>0</v>
      </c>
      <c r="W156" s="1"/>
      <c r="X156" s="136"/>
      <c r="Y156" s="141"/>
      <c r="Z156" s="589" t="str">
        <f>'Goals, Inventory, Budget'!C156</f>
        <v>sesame</v>
      </c>
      <c r="AA156" s="61">
        <f>'Goals, Inventory, Budget'!G156</f>
      </c>
      <c r="AB156" s="22" t="str">
        <f>'Goals, Inventory, Budget'!F156</f>
        <v>lbs</v>
      </c>
      <c r="AC156" s="81"/>
      <c r="AD156" s="40">
        <f>'Goals, Inventory, Budget'!I156</f>
      </c>
      <c r="AE156" s="19">
        <f>'Goals, Inventory, Budget'!J156</f>
      </c>
      <c r="AF156" s="20">
        <f>'Goals, Inventory, Budget'!K156</f>
      </c>
      <c r="AG156" s="146">
        <f t="shared" si="71"/>
      </c>
      <c r="AH156" s="147">
        <f t="shared" si="72"/>
      </c>
      <c r="AI156" s="147">
        <f t="shared" si="73"/>
      </c>
      <c r="AJ156" s="236">
        <f t="shared" si="74"/>
      </c>
      <c r="AK156" s="297"/>
    </row>
    <row r="157" spans="2:37" ht="12.75">
      <c r="B157" s="555"/>
      <c r="C157" s="168" t="s">
        <v>153</v>
      </c>
      <c r="D157" s="100" t="s">
        <v>19</v>
      </c>
      <c r="E157" s="2"/>
      <c r="F157" s="588" t="s">
        <v>23</v>
      </c>
      <c r="G157" s="61">
        <f t="shared" si="63"/>
      </c>
      <c r="H157" s="38">
        <f t="shared" si="64"/>
      </c>
      <c r="I157" s="40">
        <f t="shared" si="65"/>
      </c>
      <c r="J157" s="19">
        <f t="shared" si="66"/>
      </c>
      <c r="K157" s="20">
        <f t="shared" si="67"/>
      </c>
      <c r="L157" s="21">
        <f t="shared" si="68"/>
      </c>
      <c r="M157" s="108" t="str">
        <f>'Goals, Inventory, Budget'!C157</f>
        <v>Mayonnaise</v>
      </c>
      <c r="N157" s="11" t="str">
        <f>'Goals, Inventory, Budget'!F157</f>
        <v>lbs</v>
      </c>
      <c r="O157" s="60">
        <f>'Goals, Inventory, Budget'!G157</f>
      </c>
      <c r="P157" s="227">
        <f t="shared" si="69"/>
        <v>0</v>
      </c>
      <c r="Q157" s="137"/>
      <c r="R157" s="138"/>
      <c r="S157" s="30"/>
      <c r="T157" s="31"/>
      <c r="U157" s="139"/>
      <c r="V157" s="140">
        <f t="shared" si="70"/>
        <v>0</v>
      </c>
      <c r="W157" s="1"/>
      <c r="X157" s="136"/>
      <c r="Y157" s="141"/>
      <c r="Z157" s="589" t="str">
        <f>'Goals, Inventory, Budget'!C157</f>
        <v>Mayonnaise</v>
      </c>
      <c r="AA157" s="61">
        <f>'Goals, Inventory, Budget'!G157</f>
      </c>
      <c r="AB157" s="22" t="str">
        <f>'Goals, Inventory, Budget'!F157</f>
        <v>lbs</v>
      </c>
      <c r="AC157" s="81"/>
      <c r="AD157" s="40">
        <f>'Goals, Inventory, Budget'!I157</f>
      </c>
      <c r="AE157" s="19">
        <f>'Goals, Inventory, Budget'!J157</f>
      </c>
      <c r="AF157" s="20">
        <f>'Goals, Inventory, Budget'!K157</f>
      </c>
      <c r="AG157" s="146">
        <f t="shared" si="71"/>
      </c>
      <c r="AH157" s="147">
        <f t="shared" si="72"/>
      </c>
      <c r="AI157" s="147">
        <f t="shared" si="73"/>
      </c>
      <c r="AJ157" s="236">
        <f t="shared" si="74"/>
      </c>
      <c r="AK157" s="297"/>
    </row>
    <row r="158" spans="2:37" ht="25.5">
      <c r="B158" s="555"/>
      <c r="C158" s="168" t="s">
        <v>157</v>
      </c>
      <c r="D158" s="100" t="s">
        <v>180</v>
      </c>
      <c r="E158" s="2"/>
      <c r="F158" s="588" t="s">
        <v>23</v>
      </c>
      <c r="G158" s="61">
        <f t="shared" si="63"/>
      </c>
      <c r="H158" s="38">
        <f t="shared" si="64"/>
      </c>
      <c r="I158" s="40">
        <f t="shared" si="65"/>
      </c>
      <c r="J158" s="19">
        <f t="shared" si="66"/>
      </c>
      <c r="K158" s="20">
        <f t="shared" si="67"/>
      </c>
      <c r="L158" s="21">
        <f t="shared" si="68"/>
      </c>
      <c r="M158" s="108" t="str">
        <f>'Goals, Inventory, Budget'!C158</f>
        <v>Salad dressing (mayonnaise type)</v>
      </c>
      <c r="N158" s="11" t="str">
        <f>'Goals, Inventory, Budget'!F158</f>
        <v>lbs</v>
      </c>
      <c r="O158" s="60">
        <f>'Goals, Inventory, Budget'!G158</f>
      </c>
      <c r="P158" s="227">
        <f t="shared" si="69"/>
        <v>0</v>
      </c>
      <c r="Q158" s="137"/>
      <c r="R158" s="138"/>
      <c r="S158" s="30"/>
      <c r="T158" s="31"/>
      <c r="U158" s="139"/>
      <c r="V158" s="140">
        <f t="shared" si="70"/>
        <v>0</v>
      </c>
      <c r="W158" s="1"/>
      <c r="X158" s="136"/>
      <c r="Y158" s="141"/>
      <c r="Z158" s="589" t="str">
        <f>'Goals, Inventory, Budget'!C158</f>
        <v>Salad dressing (mayonnaise type)</v>
      </c>
      <c r="AA158" s="61">
        <f>'Goals, Inventory, Budget'!G158</f>
      </c>
      <c r="AB158" s="22" t="str">
        <f>'Goals, Inventory, Budget'!F158</f>
        <v>lbs</v>
      </c>
      <c r="AC158" s="81"/>
      <c r="AD158" s="40">
        <f>'Goals, Inventory, Budget'!I158</f>
      </c>
      <c r="AE158" s="19">
        <f>'Goals, Inventory, Budget'!J158</f>
      </c>
      <c r="AF158" s="20">
        <f>'Goals, Inventory, Budget'!K158</f>
      </c>
      <c r="AG158" s="146">
        <f t="shared" si="71"/>
      </c>
      <c r="AH158" s="147">
        <f t="shared" si="72"/>
      </c>
      <c r="AI158" s="147">
        <f t="shared" si="73"/>
      </c>
      <c r="AJ158" s="236">
        <f t="shared" si="74"/>
      </c>
      <c r="AK158" s="297"/>
    </row>
    <row r="159" spans="2:37" ht="12.75">
      <c r="B159" s="555"/>
      <c r="C159" s="168" t="s">
        <v>158</v>
      </c>
      <c r="D159" s="100" t="s">
        <v>37</v>
      </c>
      <c r="E159" s="2"/>
      <c r="F159" s="588" t="s">
        <v>23</v>
      </c>
      <c r="G159" s="61">
        <f t="shared" si="63"/>
      </c>
      <c r="H159" s="38">
        <f t="shared" si="64"/>
      </c>
      <c r="I159" s="40">
        <f t="shared" si="65"/>
      </c>
      <c r="J159" s="19">
        <f t="shared" si="66"/>
      </c>
      <c r="K159" s="20">
        <f t="shared" si="67"/>
      </c>
      <c r="L159" s="21">
        <f t="shared" si="68"/>
      </c>
      <c r="M159" s="108" t="str">
        <f>'Goals, Inventory, Budget'!C159</f>
        <v>peanut butter</v>
      </c>
      <c r="N159" s="11" t="str">
        <f>'Goals, Inventory, Budget'!F159</f>
        <v>lbs</v>
      </c>
      <c r="O159" s="60">
        <f>'Goals, Inventory, Budget'!G159</f>
      </c>
      <c r="P159" s="227">
        <f t="shared" si="69"/>
        <v>0</v>
      </c>
      <c r="Q159" s="137"/>
      <c r="R159" s="138"/>
      <c r="S159" s="30"/>
      <c r="T159" s="31"/>
      <c r="U159" s="139"/>
      <c r="V159" s="140">
        <f t="shared" si="70"/>
        <v>0</v>
      </c>
      <c r="W159" s="1"/>
      <c r="X159" s="136"/>
      <c r="Y159" s="141"/>
      <c r="Z159" s="589" t="str">
        <f>'Goals, Inventory, Budget'!C159</f>
        <v>peanut butter</v>
      </c>
      <c r="AA159" s="61">
        <f>'Goals, Inventory, Budget'!G159</f>
      </c>
      <c r="AB159" s="22" t="str">
        <f>'Goals, Inventory, Budget'!F159</f>
        <v>lbs</v>
      </c>
      <c r="AC159" s="81"/>
      <c r="AD159" s="40">
        <f>'Goals, Inventory, Budget'!I159</f>
      </c>
      <c r="AE159" s="19">
        <f>'Goals, Inventory, Budget'!J159</f>
      </c>
      <c r="AF159" s="20">
        <f>'Goals, Inventory, Budget'!K159</f>
      </c>
      <c r="AG159" s="146">
        <f t="shared" si="71"/>
      </c>
      <c r="AH159" s="147">
        <f t="shared" si="72"/>
      </c>
      <c r="AI159" s="147">
        <f t="shared" si="73"/>
      </c>
      <c r="AJ159" s="236">
        <f t="shared" si="74"/>
      </c>
      <c r="AK159" s="297"/>
    </row>
    <row r="160" spans="2:37" ht="13.5" thickBot="1">
      <c r="B160" s="555"/>
      <c r="C160" s="168" t="s">
        <v>107</v>
      </c>
      <c r="D160" s="100" t="s">
        <v>37</v>
      </c>
      <c r="E160" s="2"/>
      <c r="F160" s="588" t="s">
        <v>23</v>
      </c>
      <c r="G160" s="61">
        <f t="shared" si="63"/>
      </c>
      <c r="H160" s="38">
        <f t="shared" si="64"/>
      </c>
      <c r="I160" s="73">
        <f t="shared" si="65"/>
      </c>
      <c r="J160" s="56">
        <f t="shared" si="66"/>
      </c>
      <c r="K160" s="57">
        <f t="shared" si="67"/>
      </c>
      <c r="L160" s="25">
        <f t="shared" si="68"/>
      </c>
      <c r="M160" s="108" t="str">
        <f>'Goals, Inventory, Budget'!C160</f>
        <v>shortening</v>
      </c>
      <c r="N160" s="11" t="str">
        <f>'Goals, Inventory, Budget'!F160</f>
        <v>lbs</v>
      </c>
      <c r="O160" s="60">
        <f>'Goals, Inventory, Budget'!G160</f>
      </c>
      <c r="P160" s="227">
        <f t="shared" si="69"/>
        <v>0</v>
      </c>
      <c r="Q160" s="137"/>
      <c r="R160" s="138"/>
      <c r="S160" s="30"/>
      <c r="T160" s="31"/>
      <c r="U160" s="139"/>
      <c r="V160" s="140">
        <f t="shared" si="70"/>
        <v>0</v>
      </c>
      <c r="W160" s="1"/>
      <c r="X160" s="136"/>
      <c r="Y160" s="141"/>
      <c r="Z160" s="589" t="str">
        <f>'Goals, Inventory, Budget'!C160</f>
        <v>shortening</v>
      </c>
      <c r="AA160" s="61">
        <f>'Goals, Inventory, Budget'!G160</f>
      </c>
      <c r="AB160" s="22" t="str">
        <f>'Goals, Inventory, Budget'!F160</f>
        <v>lbs</v>
      </c>
      <c r="AC160" s="81"/>
      <c r="AD160" s="73">
        <f>'Goals, Inventory, Budget'!I160</f>
      </c>
      <c r="AE160" s="56">
        <f>'Goals, Inventory, Budget'!J160</f>
      </c>
      <c r="AF160" s="57">
        <f>'Goals, Inventory, Budget'!K160</f>
      </c>
      <c r="AG160" s="148">
        <f t="shared" si="71"/>
      </c>
      <c r="AH160" s="149">
        <f t="shared" si="72"/>
      </c>
      <c r="AI160" s="149">
        <f t="shared" si="73"/>
      </c>
      <c r="AJ160" s="250">
        <f t="shared" si="74"/>
      </c>
      <c r="AK160" s="298"/>
    </row>
    <row r="161" spans="2:36" ht="14.25" thickBot="1" thickTop="1">
      <c r="B161" s="555"/>
      <c r="C161" s="679" t="s">
        <v>108</v>
      </c>
      <c r="D161" s="680"/>
      <c r="E161" s="688">
        <f>E154*7.5+SUM(E155:E160)</f>
        <v>75</v>
      </c>
      <c r="F161" s="122" t="s">
        <v>23</v>
      </c>
      <c r="G161" s="59">
        <f>FamilyFactor*E161</f>
        <v>75</v>
      </c>
      <c r="H161" s="224">
        <f>P161</f>
        <v>0</v>
      </c>
      <c r="I161" s="41">
        <f>IF(G161="","",IF(H161="",G161-0,IF(G161&lt;H161,0,G161-H161)))</f>
        <v>75</v>
      </c>
      <c r="J161" s="52">
        <f>IF((G161/2-H161)&lt;=0,0,G161/2-H161)</f>
        <v>37.5</v>
      </c>
      <c r="K161" s="53">
        <f>IF((G161/4-H161)&lt;=0,0,G161/4-H161)</f>
        <v>18.75</v>
      </c>
      <c r="M161" s="177" t="str">
        <f>'Goals, Inventory, Budget'!C161</f>
        <v>Total oils</v>
      </c>
      <c r="N161" s="126" t="str">
        <f>'Goals, Inventory, Budget'!F161</f>
        <v>lbs</v>
      </c>
      <c r="O161" s="59">
        <f>'Goals, Inventory, Budget'!G161</f>
        <v>75</v>
      </c>
      <c r="P161" s="224">
        <f>SUM(P154:P160)</f>
        <v>0</v>
      </c>
      <c r="Q161" s="591"/>
      <c r="R161" s="592"/>
      <c r="S161" s="593"/>
      <c r="T161" s="655"/>
      <c r="U161" s="216"/>
      <c r="V161" s="655"/>
      <c r="W161" s="551"/>
      <c r="X161" s="655"/>
      <c r="Y161" s="656"/>
      <c r="Z161" s="665" t="str">
        <f>'Goals, Inventory, Budget'!C161</f>
        <v>Total oils</v>
      </c>
      <c r="AA161" s="59">
        <f>'Goals, Inventory, Budget'!G161</f>
        <v>75</v>
      </c>
      <c r="AB161" s="126" t="str">
        <f>'Goals, Inventory, Budget'!F161</f>
        <v>lbs</v>
      </c>
      <c r="AC161" s="84"/>
      <c r="AD161" s="41">
        <f>'Goals, Inventory, Budget'!I161</f>
        <v>75</v>
      </c>
      <c r="AE161" s="86">
        <f>'Goals, Inventory, Budget'!J161</f>
        <v>37.5</v>
      </c>
      <c r="AF161" s="87">
        <f>'Goals, Inventory, Budget'!K161</f>
        <v>18.75</v>
      </c>
      <c r="AG161" s="161">
        <f>SUM(AG154:AG160)</f>
        <v>51.7</v>
      </c>
      <c r="AH161" s="162">
        <f>SUM(AH154:AH160)</f>
        <v>25.85</v>
      </c>
      <c r="AI161" s="254">
        <f>SUM(AI154:AI160)</f>
        <v>12.925</v>
      </c>
      <c r="AJ161" s="248">
        <f>SUM(AJ154:AJ160)</f>
        <v>4.308333333333334</v>
      </c>
    </row>
    <row r="162" spans="2:36" ht="64.5" thickBot="1">
      <c r="B162" s="555"/>
      <c r="C162" s="626" t="s">
        <v>109</v>
      </c>
      <c r="D162" s="627"/>
      <c r="E162" s="125" t="s">
        <v>276</v>
      </c>
      <c r="F162" s="125" t="s">
        <v>15</v>
      </c>
      <c r="G162" s="124" t="s">
        <v>190</v>
      </c>
      <c r="H162" s="124" t="s">
        <v>189</v>
      </c>
      <c r="I162" s="124" t="s">
        <v>55</v>
      </c>
      <c r="J162" s="124" t="s">
        <v>56</v>
      </c>
      <c r="K162" s="123" t="s">
        <v>57</v>
      </c>
      <c r="M162" s="133" t="str">
        <f>'Goals, Inventory, Budget'!C162</f>
        <v>Cooking Catalysts - Salts, oils, leaveners</v>
      </c>
      <c r="N162" s="125" t="str">
        <f>'Goals, Inventory, Budget'!F162</f>
        <v>Units</v>
      </c>
      <c r="O162" s="124" t="str">
        <f>'Goals, Inventory, Budget'!G162</f>
        <v>Family Total Goal</v>
      </c>
      <c r="P162" s="124" t="str">
        <f>'Goals, Inventory, Budget'!H162</f>
        <v>In Inventory</v>
      </c>
      <c r="Q162" s="124" t="str">
        <f>'Goals, Inventory, Budget'!I162</f>
        <v>Still Need for 12 months</v>
      </c>
      <c r="R162" s="134" t="str">
        <f>'Goals, Inventory, Budget'!J162</f>
        <v>Still Need for 6 months</v>
      </c>
      <c r="S162" s="135" t="str">
        <f>'Goals, Inventory, Budget'!K162</f>
        <v>Still Need for 3 months</v>
      </c>
      <c r="Z162" s="657" t="str">
        <f>'Goals, Inventory, Budget'!C162</f>
        <v>Cooking Catalysts - Salts, oils, leaveners</v>
      </c>
      <c r="AA162" s="124" t="str">
        <f>'Goals, Inventory, Budget'!G162</f>
        <v>Family Total Goal</v>
      </c>
      <c r="AB162" s="125" t="str">
        <f>'Goals, Inventory, Budget'!F162</f>
        <v>Units</v>
      </c>
      <c r="AC162" s="150" t="s">
        <v>209</v>
      </c>
      <c r="AD162" s="124" t="str">
        <f>'Goals, Inventory, Budget'!I162</f>
        <v>Still Need for 12 months</v>
      </c>
      <c r="AE162" s="658" t="str">
        <f>'Goals, Inventory, Budget'!J162</f>
        <v>Still Need for 6 months</v>
      </c>
      <c r="AF162" s="659" t="str">
        <f>'Goals, Inventory, Budget'!K162</f>
        <v>Still Need for 3 months</v>
      </c>
      <c r="AG162" s="660" t="s">
        <v>210</v>
      </c>
      <c r="AH162" s="660" t="s">
        <v>211</v>
      </c>
      <c r="AI162" s="661" t="s">
        <v>212</v>
      </c>
      <c r="AJ162" s="662" t="s">
        <v>281</v>
      </c>
    </row>
    <row r="163" spans="2:36" ht="14.25" thickBot="1" thickTop="1">
      <c r="B163" s="555"/>
      <c r="C163" s="635" t="s">
        <v>48</v>
      </c>
      <c r="D163" s="636"/>
      <c r="E163" s="676">
        <f>(E146+E152+E161)</f>
        <v>90.25</v>
      </c>
      <c r="F163" s="637" t="s">
        <v>23</v>
      </c>
      <c r="G163" s="67">
        <f>FamilyFactor*E163</f>
        <v>90.25</v>
      </c>
      <c r="H163" s="229">
        <f>P163</f>
        <v>0</v>
      </c>
      <c r="I163" s="43">
        <f>IF(G163="","",IF(H163="",G163-0,IF(G163&lt;H163,0,G163-H163)))</f>
        <v>90.25</v>
      </c>
      <c r="J163" s="54">
        <f>IF((G163/2-H163)&lt;=0,0,G163/2-H163)</f>
        <v>45.125</v>
      </c>
      <c r="K163" s="55">
        <f>IF((G163/4-H163)&lt;=0,0,G163/4-H163)</f>
        <v>22.5625</v>
      </c>
      <c r="M163" s="128" t="str">
        <f>'Goals, Inventory, Budget'!C163</f>
        <v>Grand Total</v>
      </c>
      <c r="N163" s="129" t="str">
        <f>'Goals, Inventory, Budget'!F163</f>
        <v>lbs</v>
      </c>
      <c r="O163" s="67">
        <f>'Goals, Inventory, Budget'!G163</f>
        <v>90.25</v>
      </c>
      <c r="P163" s="229">
        <f>P161+P152+P146</f>
        <v>0</v>
      </c>
      <c r="Q163" s="43">
        <f>'Goals, Inventory, Budget'!I163</f>
        <v>90.25</v>
      </c>
      <c r="R163" s="54">
        <f>'Goals, Inventory, Budget'!J163</f>
        <v>45.125</v>
      </c>
      <c r="S163" s="49">
        <f>'Goals, Inventory, Budget'!K163</f>
        <v>22.5625</v>
      </c>
      <c r="Z163" s="663" t="str">
        <f>'Goals, Inventory, Budget'!C163</f>
        <v>Grand Total</v>
      </c>
      <c r="AA163" s="67">
        <f>'Goals, Inventory, Budget'!G163</f>
        <v>90.25</v>
      </c>
      <c r="AB163" s="129" t="str">
        <f>'Goals, Inventory, Budget'!F163</f>
        <v>lbs</v>
      </c>
      <c r="AC163" s="83"/>
      <c r="AD163" s="43">
        <f>'Goals, Inventory, Budget'!I163</f>
        <v>90.25</v>
      </c>
      <c r="AE163" s="54">
        <f>'Goals, Inventory, Budget'!J163</f>
        <v>45.125</v>
      </c>
      <c r="AF163" s="55">
        <f>'Goals, Inventory, Budget'!K163</f>
        <v>22.5625</v>
      </c>
      <c r="AG163" s="159">
        <f>AG146+AG152+AG161</f>
        <v>53.75</v>
      </c>
      <c r="AH163" s="160">
        <f>AH146+AH152+AH161</f>
        <v>26.875</v>
      </c>
      <c r="AI163" s="252">
        <f>AI146+AI152+AI161</f>
        <v>13.4375</v>
      </c>
      <c r="AJ163" s="247">
        <f>AJ146+AJ152+AJ161</f>
        <v>4.479166666666667</v>
      </c>
    </row>
    <row r="164" spans="2:40" s="199" customFormat="1" ht="14.25" thickBot="1" thickTop="1">
      <c r="B164" s="553"/>
      <c r="C164" s="205"/>
      <c r="D164" s="547"/>
      <c r="E164" s="202"/>
      <c r="F164" s="202"/>
      <c r="G164" s="201"/>
      <c r="H164" s="201"/>
      <c r="I164" s="203"/>
      <c r="J164" s="203"/>
      <c r="K164" s="203"/>
      <c r="L164" s="204"/>
      <c r="M164" s="205"/>
      <c r="N164" s="202"/>
      <c r="O164" s="201"/>
      <c r="P164" s="201"/>
      <c r="Q164" s="203"/>
      <c r="R164" s="204"/>
      <c r="S164" s="201"/>
      <c r="T164" s="204"/>
      <c r="U164" s="201"/>
      <c r="V164" s="204"/>
      <c r="W164" s="202"/>
      <c r="X164" s="204"/>
      <c r="Y164" s="201"/>
      <c r="Z164" s="554"/>
      <c r="AA164" s="201"/>
      <c r="AB164" s="202"/>
      <c r="AC164" s="208"/>
      <c r="AD164" s="203"/>
      <c r="AE164" s="201"/>
      <c r="AF164" s="206"/>
      <c r="AG164" s="207"/>
      <c r="AH164" s="208"/>
      <c r="AI164" s="208"/>
      <c r="AJ164" s="208"/>
      <c r="AK164" s="289"/>
      <c r="AL164" s="288"/>
      <c r="AM164" s="289"/>
      <c r="AN164" s="289"/>
    </row>
    <row r="165" spans="2:37" ht="48.75" thickBot="1" thickTop="1">
      <c r="B165" s="555" t="s">
        <v>144</v>
      </c>
      <c r="C165" s="638" t="s">
        <v>144</v>
      </c>
      <c r="D165" s="639"/>
      <c r="E165" s="639"/>
      <c r="F165" s="639"/>
      <c r="G165" s="639"/>
      <c r="H165" s="640"/>
      <c r="I165" s="557" t="s">
        <v>217</v>
      </c>
      <c r="J165" s="558">
        <f>'Storage Summary'!C12</f>
        <v>0</v>
      </c>
      <c r="K165" s="558" t="str">
        <f>'Storage Summary'!E12</f>
        <v>lbs</v>
      </c>
      <c r="L165" s="96" t="s">
        <v>188</v>
      </c>
      <c r="M165" s="304" t="str">
        <f>'Goals, Inventory, Budget'!C165</f>
        <v>Sprouting - Seeds &amp; Supplies</v>
      </c>
      <c r="N165" s="305">
        <f>'Goals, Inventory, Budget'!F165</f>
        <v>0</v>
      </c>
      <c r="O165" s="305">
        <f>'Goals, Inventory, Budget'!G165</f>
        <v>0</v>
      </c>
      <c r="P165" s="305">
        <f>'Goals, Inventory, Budget'!H165</f>
        <v>0</v>
      </c>
      <c r="Q165" s="305" t="str">
        <f>'Goals, Inventory, Budget'!I165</f>
        <v>(Adult Total:</v>
      </c>
      <c r="R165" s="305">
        <f>'Goals, Inventory, Budget'!J165</f>
        <v>0</v>
      </c>
      <c r="S165" s="305" t="str">
        <f>'Goals, Inventory, Budget'!K165</f>
        <v>lbs</v>
      </c>
      <c r="T165" s="110"/>
      <c r="U165" s="112"/>
      <c r="V165" s="110"/>
      <c r="W165" s="111"/>
      <c r="X165" s="110"/>
      <c r="Y165" s="116"/>
      <c r="Z165" s="641" t="str">
        <f>'Goals, Inventory, Budget'!C165</f>
        <v>Sprouting - Seeds &amp; Supplies</v>
      </c>
      <c r="AA165" s="642"/>
      <c r="AB165" s="642"/>
      <c r="AC165" s="642"/>
      <c r="AD165" s="642"/>
      <c r="AE165" s="643" t="str">
        <f>'Goals, Inventory, Budget'!I165</f>
        <v>(Adult Total:</v>
      </c>
      <c r="AF165" s="644">
        <f>'Goals, Inventory, Budget'!J165</f>
        <v>0</v>
      </c>
      <c r="AG165" s="644" t="str">
        <f>'Goals, Inventory, Budget'!K165</f>
        <v>lbs</v>
      </c>
      <c r="AH165" s="645" t="s">
        <v>188</v>
      </c>
      <c r="AI165" s="646"/>
      <c r="AJ165" s="647"/>
      <c r="AK165" s="292"/>
    </row>
    <row r="166" spans="2:37" ht="63.75">
      <c r="B166" s="555"/>
      <c r="C166" s="483" t="s">
        <v>13</v>
      </c>
      <c r="D166" s="484" t="s">
        <v>14</v>
      </c>
      <c r="E166" s="455" t="s">
        <v>276</v>
      </c>
      <c r="F166" s="455" t="s">
        <v>15</v>
      </c>
      <c r="G166" s="485" t="s">
        <v>190</v>
      </c>
      <c r="H166" s="485" t="s">
        <v>189</v>
      </c>
      <c r="I166" s="485" t="s">
        <v>55</v>
      </c>
      <c r="J166" s="485" t="s">
        <v>56</v>
      </c>
      <c r="K166" s="567" t="s">
        <v>57</v>
      </c>
      <c r="L166" s="46" t="s">
        <v>187</v>
      </c>
      <c r="M166" s="178" t="str">
        <f>'Goals, Inventory, Budget'!C166</f>
        <v>Storage Item</v>
      </c>
      <c r="N166" s="179" t="str">
        <f>'Goals, Inventory, Budget'!F166</f>
        <v>Units</v>
      </c>
      <c r="O166" s="180" t="str">
        <f>'Goals, Inventory, Budget'!G166</f>
        <v>Family Total Goal</v>
      </c>
      <c r="P166" s="180" t="str">
        <f>'Goals, Inventory, Budget'!H166</f>
        <v>In Inventory</v>
      </c>
      <c r="Q166" s="180" t="s">
        <v>191</v>
      </c>
      <c r="R166" s="181" t="s">
        <v>192</v>
      </c>
      <c r="S166" s="180" t="s">
        <v>193</v>
      </c>
      <c r="T166" s="182" t="s">
        <v>194</v>
      </c>
      <c r="U166" s="183" t="s">
        <v>195</v>
      </c>
      <c r="V166" s="182" t="s">
        <v>196</v>
      </c>
      <c r="W166" s="187" t="s">
        <v>197</v>
      </c>
      <c r="X166" s="188" t="s">
        <v>198</v>
      </c>
      <c r="Y166" s="189" t="s">
        <v>199</v>
      </c>
      <c r="Z166" s="483" t="str">
        <f>'Goals, Inventory, Budget'!C166</f>
        <v>Storage Item</v>
      </c>
      <c r="AA166" s="485" t="str">
        <f>'Goals, Inventory, Budget'!G166</f>
        <v>Family Total Goal</v>
      </c>
      <c r="AB166" s="455" t="str">
        <f>'Goals, Inventory, Budget'!F166</f>
        <v>Units</v>
      </c>
      <c r="AC166" s="648" t="s">
        <v>209</v>
      </c>
      <c r="AD166" s="485" t="str">
        <f>'Goals, Inventory, Budget'!I166</f>
        <v>Still Need for 12 months</v>
      </c>
      <c r="AE166" s="485" t="str">
        <f>'Goals, Inventory, Budget'!J166</f>
        <v>Still Need for 6 months</v>
      </c>
      <c r="AF166" s="567" t="str">
        <f>'Goals, Inventory, Budget'!K166</f>
        <v>Still Need for 3 months</v>
      </c>
      <c r="AG166" s="649" t="s">
        <v>210</v>
      </c>
      <c r="AH166" s="649" t="s">
        <v>211</v>
      </c>
      <c r="AI166" s="650" t="s">
        <v>212</v>
      </c>
      <c r="AJ166" s="651" t="s">
        <v>281</v>
      </c>
      <c r="AK166" s="290" t="s">
        <v>285</v>
      </c>
    </row>
    <row r="167" spans="2:37" ht="12.75">
      <c r="B167" s="555"/>
      <c r="C167" s="498" t="s">
        <v>220</v>
      </c>
      <c r="D167" s="572"/>
      <c r="E167" s="572"/>
      <c r="F167" s="572"/>
      <c r="G167" s="572"/>
      <c r="H167" s="572"/>
      <c r="I167" s="572"/>
      <c r="J167" s="572"/>
      <c r="K167" s="617"/>
      <c r="L167" s="97"/>
      <c r="M167" s="302" t="str">
        <f>'Goals, Inventory, Budget'!C167</f>
        <v>Beans, Grains &amp; Seeds - for best results, use only untreated or organic beans, grains &amp; seeds</v>
      </c>
      <c r="N167" s="306">
        <f>'Goals, Inventory, Budget'!F167</f>
        <v>0</v>
      </c>
      <c r="O167" s="306">
        <f>'Goals, Inventory, Budget'!G167</f>
        <v>0</v>
      </c>
      <c r="P167" s="306">
        <f>'Goals, Inventory, Budget'!H167</f>
        <v>0</v>
      </c>
      <c r="Q167" s="306">
        <f>'Goals, Inventory, Budget'!I167</f>
        <v>0</v>
      </c>
      <c r="R167" s="306">
        <f>'Goals, Inventory, Budget'!J167</f>
        <v>0</v>
      </c>
      <c r="S167" s="306">
        <f>'Goals, Inventory, Budget'!K167</f>
        <v>0</v>
      </c>
      <c r="T167" s="303"/>
      <c r="U167" s="303"/>
      <c r="V167" s="303"/>
      <c r="W167" s="303"/>
      <c r="X167" s="303"/>
      <c r="Y167" s="307"/>
      <c r="Z167" s="686" t="str">
        <f>'Goals, Inventory, Budget'!C167</f>
        <v>Beans, Grains &amp; Seeds - for best results, use only untreated or organic beans, grains &amp; seeds</v>
      </c>
      <c r="AA167" s="689"/>
      <c r="AB167" s="689"/>
      <c r="AC167" s="689"/>
      <c r="AD167" s="689"/>
      <c r="AE167" s="689"/>
      <c r="AF167" s="690"/>
      <c r="AG167" s="601"/>
      <c r="AH167" s="601"/>
      <c r="AI167" s="601"/>
      <c r="AJ167" s="607"/>
      <c r="AK167" s="578"/>
    </row>
    <row r="168" spans="2:37" ht="12.75">
      <c r="B168" s="555"/>
      <c r="C168" s="104" t="s">
        <v>137</v>
      </c>
      <c r="D168" s="98" t="s">
        <v>177</v>
      </c>
      <c r="E168" s="1">
        <v>1</v>
      </c>
      <c r="F168" s="504" t="s">
        <v>23</v>
      </c>
      <c r="G168" s="61">
        <f>IF(E168=0,"",FamilyFactor*E168)</f>
        <v>1</v>
      </c>
      <c r="H168" s="38">
        <f aca="true" t="shared" si="75" ref="H168:H177">IF(P168=0,"",P168)</f>
      </c>
      <c r="I168" s="40">
        <f aca="true" t="shared" si="76" ref="I168:I177">IF(G168="","",IF(H168="",G168-0,G168-H168))</f>
        <v>1</v>
      </c>
      <c r="J168" s="19">
        <f aca="true" t="shared" si="77" ref="J168:J177">IF(G168="","",IF(H168="",G168/2-0,IF((G168/2-H168)&lt;=0,0,G168/2-H168)))</f>
        <v>0.5</v>
      </c>
      <c r="K168" s="20">
        <f aca="true" t="shared" si="78" ref="K168:K177">IF(G168="","",IF(H168="",G168/4-0,IF((G168/4-H168)&lt;=0,0,G168/4-H168)))</f>
        <v>0.25</v>
      </c>
      <c r="L168" s="21">
        <f aca="true" t="shared" si="79" ref="L168:L177">IF(H168="","",IF(D168="indefinite",0,IF(D168="varies","varies",H168/D168)))</f>
      </c>
      <c r="M168" s="108" t="str">
        <f>'Goals, Inventory, Budget'!C168</f>
        <v>alfalfa</v>
      </c>
      <c r="N168" s="11" t="str">
        <f>'Goals, Inventory, Budget'!F168</f>
        <v>lbs</v>
      </c>
      <c r="O168" s="60">
        <f>'Goals, Inventory, Budget'!G168</f>
        <v>1</v>
      </c>
      <c r="P168" s="227">
        <f aca="true" t="shared" si="80" ref="P168:P177">Q168*R168+S168*T168+U168*V168+X168*Y168</f>
        <v>0</v>
      </c>
      <c r="Q168" s="137"/>
      <c r="R168" s="138"/>
      <c r="S168" s="30"/>
      <c r="T168" s="31"/>
      <c r="U168" s="139"/>
      <c r="V168" s="140">
        <f aca="true" t="shared" si="81" ref="V168:V177">IF(R168=0,0,R168*5/0.75)</f>
        <v>0</v>
      </c>
      <c r="W168" s="1"/>
      <c r="X168" s="136"/>
      <c r="Y168" s="141"/>
      <c r="Z168" s="172" t="str">
        <f>'Goals, Inventory, Budget'!C168</f>
        <v>alfalfa</v>
      </c>
      <c r="AA168" s="61">
        <f>'Goals, Inventory, Budget'!G168</f>
        <v>1</v>
      </c>
      <c r="AB168" s="11" t="str">
        <f>'Goals, Inventory, Budget'!F168</f>
        <v>lbs</v>
      </c>
      <c r="AC168" s="74"/>
      <c r="AD168" s="40">
        <f>'Goals, Inventory, Budget'!I168</f>
        <v>1</v>
      </c>
      <c r="AE168" s="19">
        <f>'Goals, Inventory, Budget'!J168</f>
        <v>0.5</v>
      </c>
      <c r="AF168" s="20">
        <f>'Goals, Inventory, Budget'!K168</f>
        <v>0.25</v>
      </c>
      <c r="AG168" s="146" t="str">
        <f aca="true" t="shared" si="82" ref="AG168:AG177">IF(AA168="","",IF(AC168=0,"price?",AD168*AC168))</f>
        <v>price?</v>
      </c>
      <c r="AH168" s="147" t="str">
        <f aca="true" t="shared" si="83" ref="AH168:AH177">IF(AA168="","",IF(AC168=0,"price?",AE168*AC168))</f>
        <v>price?</v>
      </c>
      <c r="AI168" s="147" t="str">
        <f aca="true" t="shared" si="84" ref="AI168:AI177">IF(AA168="","",IF(AC168=0,"price?",AF168*AC168))</f>
        <v>price?</v>
      </c>
      <c r="AJ168" s="236" t="str">
        <f aca="true" t="shared" si="85" ref="AJ168:AJ177">IF(AA168="","",IF(AC168=0,"price?",IF(AD168=0,0,AA168*AC168/12)))</f>
        <v>price?</v>
      </c>
      <c r="AK168" s="297"/>
    </row>
    <row r="169" spans="2:37" ht="12.75">
      <c r="B169" s="555"/>
      <c r="C169" s="104" t="s">
        <v>138</v>
      </c>
      <c r="D169" s="98" t="s">
        <v>177</v>
      </c>
      <c r="E169" s="1"/>
      <c r="F169" s="504" t="s">
        <v>23</v>
      </c>
      <c r="G169" s="61">
        <f>IF(E169=0,"",FamilyFactor*E169)</f>
      </c>
      <c r="H169" s="38">
        <f t="shared" si="75"/>
      </c>
      <c r="I169" s="40">
        <f t="shared" si="76"/>
      </c>
      <c r="J169" s="19">
        <f t="shared" si="77"/>
      </c>
      <c r="K169" s="20">
        <f t="shared" si="78"/>
      </c>
      <c r="L169" s="21">
        <f t="shared" si="79"/>
      </c>
      <c r="M169" s="108" t="str">
        <f>'Goals, Inventory, Budget'!C169</f>
        <v>barley, unhulled</v>
      </c>
      <c r="N169" s="11" t="str">
        <f>'Goals, Inventory, Budget'!F169</f>
        <v>lbs</v>
      </c>
      <c r="O169" s="60">
        <f>'Goals, Inventory, Budget'!G169</f>
      </c>
      <c r="P169" s="227">
        <f t="shared" si="80"/>
        <v>0</v>
      </c>
      <c r="Q169" s="137"/>
      <c r="R169" s="138"/>
      <c r="S169" s="30"/>
      <c r="T169" s="31"/>
      <c r="U169" s="139"/>
      <c r="V169" s="140">
        <f t="shared" si="81"/>
        <v>0</v>
      </c>
      <c r="W169" s="1"/>
      <c r="X169" s="136"/>
      <c r="Y169" s="141"/>
      <c r="Z169" s="172" t="str">
        <f>'Goals, Inventory, Budget'!C169</f>
        <v>barley, unhulled</v>
      </c>
      <c r="AA169" s="61">
        <f>'Goals, Inventory, Budget'!G169</f>
      </c>
      <c r="AB169" s="11" t="str">
        <f>'Goals, Inventory, Budget'!F169</f>
        <v>lbs</v>
      </c>
      <c r="AC169" s="74"/>
      <c r="AD169" s="40">
        <f>'Goals, Inventory, Budget'!I169</f>
      </c>
      <c r="AE169" s="19">
        <f>'Goals, Inventory, Budget'!J169</f>
      </c>
      <c r="AF169" s="20">
        <f>'Goals, Inventory, Budget'!K169</f>
      </c>
      <c r="AG169" s="146">
        <f t="shared" si="82"/>
      </c>
      <c r="AH169" s="147">
        <f t="shared" si="83"/>
      </c>
      <c r="AI169" s="147">
        <f t="shared" si="84"/>
      </c>
      <c r="AJ169" s="236">
        <f t="shared" si="85"/>
      </c>
      <c r="AK169" s="297"/>
    </row>
    <row r="170" spans="2:37" ht="12.75">
      <c r="B170" s="555"/>
      <c r="C170" s="9" t="s">
        <v>124</v>
      </c>
      <c r="D170" s="98" t="s">
        <v>177</v>
      </c>
      <c r="E170" s="1"/>
      <c r="F170" s="504" t="s">
        <v>23</v>
      </c>
      <c r="G170" s="61">
        <f aca="true" t="shared" si="86" ref="G170:G177">IF(E170=0,"",FamilyFactor*E170)</f>
      </c>
      <c r="H170" s="37">
        <f t="shared" si="75"/>
      </c>
      <c r="I170" s="40">
        <f t="shared" si="76"/>
      </c>
      <c r="J170" s="19">
        <f t="shared" si="77"/>
      </c>
      <c r="K170" s="20">
        <f t="shared" si="78"/>
      </c>
      <c r="L170" s="21">
        <f t="shared" si="79"/>
      </c>
      <c r="M170" s="108" t="str">
        <f>'Goals, Inventory, Budget'!C170</f>
        <v>peas</v>
      </c>
      <c r="N170" s="11" t="str">
        <f>'Goals, Inventory, Budget'!F170</f>
        <v>lbs</v>
      </c>
      <c r="O170" s="60">
        <f>'Goals, Inventory, Budget'!G170</f>
      </c>
      <c r="P170" s="227">
        <f t="shared" si="80"/>
        <v>0</v>
      </c>
      <c r="Q170" s="137"/>
      <c r="R170" s="138"/>
      <c r="S170" s="30"/>
      <c r="T170" s="31"/>
      <c r="U170" s="139"/>
      <c r="V170" s="140">
        <f t="shared" si="81"/>
        <v>0</v>
      </c>
      <c r="W170" s="1"/>
      <c r="X170" s="136"/>
      <c r="Y170" s="141"/>
      <c r="Z170" s="132" t="str">
        <f>'Goals, Inventory, Budget'!C170</f>
        <v>peas</v>
      </c>
      <c r="AA170" s="61">
        <f>'Goals, Inventory, Budget'!G170</f>
      </c>
      <c r="AB170" s="11" t="str">
        <f>'Goals, Inventory, Budget'!F170</f>
        <v>lbs</v>
      </c>
      <c r="AC170" s="74"/>
      <c r="AD170" s="40">
        <f>'Goals, Inventory, Budget'!I170</f>
      </c>
      <c r="AE170" s="19">
        <f>'Goals, Inventory, Budget'!J170</f>
      </c>
      <c r="AF170" s="20">
        <f>'Goals, Inventory, Budget'!K170</f>
      </c>
      <c r="AG170" s="146">
        <f t="shared" si="82"/>
      </c>
      <c r="AH170" s="147">
        <f t="shared" si="83"/>
      </c>
      <c r="AI170" s="147">
        <f t="shared" si="84"/>
      </c>
      <c r="AJ170" s="236">
        <f t="shared" si="85"/>
      </c>
      <c r="AK170" s="297"/>
    </row>
    <row r="171" spans="2:37" ht="12.75">
      <c r="B171" s="555"/>
      <c r="C171" s="9" t="s">
        <v>139</v>
      </c>
      <c r="D171" s="98" t="s">
        <v>177</v>
      </c>
      <c r="E171" s="1"/>
      <c r="F171" s="504" t="s">
        <v>23</v>
      </c>
      <c r="G171" s="61">
        <f t="shared" si="86"/>
      </c>
      <c r="H171" s="37">
        <f t="shared" si="75"/>
      </c>
      <c r="I171" s="40">
        <f t="shared" si="76"/>
      </c>
      <c r="J171" s="19">
        <f t="shared" si="77"/>
      </c>
      <c r="K171" s="20">
        <f t="shared" si="78"/>
      </c>
      <c r="L171" s="21">
        <f t="shared" si="79"/>
      </c>
      <c r="M171" s="108" t="str">
        <f>'Goals, Inventory, Budget'!C171</f>
        <v>soybean</v>
      </c>
      <c r="N171" s="11" t="str">
        <f>'Goals, Inventory, Budget'!F171</f>
        <v>lbs</v>
      </c>
      <c r="O171" s="60">
        <f>'Goals, Inventory, Budget'!G171</f>
      </c>
      <c r="P171" s="227">
        <f t="shared" si="80"/>
        <v>0</v>
      </c>
      <c r="Q171" s="137"/>
      <c r="R171" s="138"/>
      <c r="S171" s="30"/>
      <c r="T171" s="31"/>
      <c r="U171" s="139"/>
      <c r="V171" s="140">
        <f t="shared" si="81"/>
        <v>0</v>
      </c>
      <c r="W171" s="1"/>
      <c r="X171" s="136"/>
      <c r="Y171" s="141"/>
      <c r="Z171" s="132" t="str">
        <f>'Goals, Inventory, Budget'!C171</f>
        <v>soybean</v>
      </c>
      <c r="AA171" s="61">
        <f>'Goals, Inventory, Budget'!G171</f>
      </c>
      <c r="AB171" s="11" t="str">
        <f>'Goals, Inventory, Budget'!F171</f>
        <v>lbs</v>
      </c>
      <c r="AC171" s="74"/>
      <c r="AD171" s="40">
        <f>'Goals, Inventory, Budget'!I171</f>
      </c>
      <c r="AE171" s="19">
        <f>'Goals, Inventory, Budget'!J171</f>
      </c>
      <c r="AF171" s="20">
        <f>'Goals, Inventory, Budget'!K171</f>
      </c>
      <c r="AG171" s="146">
        <f t="shared" si="82"/>
      </c>
      <c r="AH171" s="147">
        <f t="shared" si="83"/>
      </c>
      <c r="AI171" s="147">
        <f t="shared" si="84"/>
      </c>
      <c r="AJ171" s="236">
        <f t="shared" si="85"/>
      </c>
      <c r="AK171" s="297"/>
    </row>
    <row r="172" spans="2:37" ht="12.75">
      <c r="B172" s="555"/>
      <c r="C172" s="9" t="s">
        <v>140</v>
      </c>
      <c r="D172" s="98" t="s">
        <v>177</v>
      </c>
      <c r="E172" s="1"/>
      <c r="F172" s="504" t="s">
        <v>23</v>
      </c>
      <c r="G172" s="61">
        <f t="shared" si="86"/>
      </c>
      <c r="H172" s="37">
        <f t="shared" si="75"/>
      </c>
      <c r="I172" s="40">
        <f t="shared" si="76"/>
      </c>
      <c r="J172" s="19">
        <f t="shared" si="77"/>
      </c>
      <c r="K172" s="20">
        <f t="shared" si="78"/>
      </c>
      <c r="L172" s="21">
        <f t="shared" si="79"/>
      </c>
      <c r="M172" s="108" t="str">
        <f>'Goals, Inventory, Budget'!C172</f>
        <v>vegetables - your selection</v>
      </c>
      <c r="N172" s="11" t="str">
        <f>'Goals, Inventory, Budget'!F172</f>
        <v>lbs</v>
      </c>
      <c r="O172" s="60">
        <f>'Goals, Inventory, Budget'!G172</f>
      </c>
      <c r="P172" s="227">
        <f t="shared" si="80"/>
        <v>0</v>
      </c>
      <c r="Q172" s="137"/>
      <c r="R172" s="138"/>
      <c r="S172" s="30"/>
      <c r="T172" s="31"/>
      <c r="U172" s="139"/>
      <c r="V172" s="140">
        <f t="shared" si="81"/>
        <v>0</v>
      </c>
      <c r="W172" s="1"/>
      <c r="X172" s="136"/>
      <c r="Y172" s="141"/>
      <c r="Z172" s="132" t="str">
        <f>'Goals, Inventory, Budget'!C172</f>
        <v>vegetables - your selection</v>
      </c>
      <c r="AA172" s="61">
        <f>'Goals, Inventory, Budget'!G172</f>
      </c>
      <c r="AB172" s="11" t="str">
        <f>'Goals, Inventory, Budget'!F172</f>
        <v>lbs</v>
      </c>
      <c r="AC172" s="74"/>
      <c r="AD172" s="40">
        <f>'Goals, Inventory, Budget'!I172</f>
      </c>
      <c r="AE172" s="19">
        <f>'Goals, Inventory, Budget'!J172</f>
      </c>
      <c r="AF172" s="20">
        <f>'Goals, Inventory, Budget'!K172</f>
      </c>
      <c r="AG172" s="146">
        <f t="shared" si="82"/>
      </c>
      <c r="AH172" s="147">
        <f t="shared" si="83"/>
      </c>
      <c r="AI172" s="147">
        <f t="shared" si="84"/>
      </c>
      <c r="AJ172" s="236">
        <f t="shared" si="85"/>
      </c>
      <c r="AK172" s="297"/>
    </row>
    <row r="173" spans="2:37" ht="12.75">
      <c r="B173" s="555"/>
      <c r="C173" s="9" t="s">
        <v>28</v>
      </c>
      <c r="D173" s="98" t="s">
        <v>177</v>
      </c>
      <c r="E173" s="1"/>
      <c r="F173" s="504" t="s">
        <v>23</v>
      </c>
      <c r="G173" s="61">
        <f t="shared" si="86"/>
      </c>
      <c r="H173" s="37">
        <f t="shared" si="75"/>
      </c>
      <c r="I173" s="40">
        <f t="shared" si="76"/>
      </c>
      <c r="J173" s="19">
        <f t="shared" si="77"/>
      </c>
      <c r="K173" s="20">
        <f t="shared" si="78"/>
      </c>
      <c r="L173" s="21">
        <f t="shared" si="79"/>
      </c>
      <c r="M173" s="108" t="str">
        <f>'Goals, Inventory, Budget'!C173</f>
        <v>wheat</v>
      </c>
      <c r="N173" s="11" t="str">
        <f>'Goals, Inventory, Budget'!F173</f>
        <v>lbs</v>
      </c>
      <c r="O173" s="60">
        <f>'Goals, Inventory, Budget'!G173</f>
      </c>
      <c r="P173" s="227">
        <f t="shared" si="80"/>
        <v>0</v>
      </c>
      <c r="Q173" s="137"/>
      <c r="R173" s="138"/>
      <c r="S173" s="30"/>
      <c r="T173" s="31"/>
      <c r="U173" s="139"/>
      <c r="V173" s="140">
        <f t="shared" si="81"/>
        <v>0</v>
      </c>
      <c r="W173" s="1"/>
      <c r="X173" s="136"/>
      <c r="Y173" s="141"/>
      <c r="Z173" s="132" t="str">
        <f>'Goals, Inventory, Budget'!C173</f>
        <v>wheat</v>
      </c>
      <c r="AA173" s="61">
        <f>'Goals, Inventory, Budget'!G173</f>
      </c>
      <c r="AB173" s="11" t="str">
        <f>'Goals, Inventory, Budget'!F173</f>
        <v>lbs</v>
      </c>
      <c r="AC173" s="74"/>
      <c r="AD173" s="40">
        <f>'Goals, Inventory, Budget'!I173</f>
      </c>
      <c r="AE173" s="19">
        <f>'Goals, Inventory, Budget'!J173</f>
      </c>
      <c r="AF173" s="20">
        <f>'Goals, Inventory, Budget'!K173</f>
      </c>
      <c r="AG173" s="146">
        <f t="shared" si="82"/>
      </c>
      <c r="AH173" s="147">
        <f t="shared" si="83"/>
      </c>
      <c r="AI173" s="147">
        <f t="shared" si="84"/>
      </c>
      <c r="AJ173" s="236">
        <f t="shared" si="85"/>
      </c>
      <c r="AK173" s="297"/>
    </row>
    <row r="174" spans="2:37" ht="12.75">
      <c r="B174" s="555"/>
      <c r="C174" s="9" t="s">
        <v>141</v>
      </c>
      <c r="D174" s="98" t="s">
        <v>177</v>
      </c>
      <c r="E174" s="1"/>
      <c r="F174" s="504" t="s">
        <v>23</v>
      </c>
      <c r="G174" s="61">
        <f t="shared" si="86"/>
      </c>
      <c r="H174" s="37">
        <f t="shared" si="75"/>
      </c>
      <c r="I174" s="40">
        <f t="shared" si="76"/>
      </c>
      <c r="J174" s="19">
        <f t="shared" si="77"/>
      </c>
      <c r="K174" s="20">
        <f t="shared" si="78"/>
      </c>
      <c r="L174" s="21">
        <f t="shared" si="79"/>
      </c>
      <c r="M174" s="108" t="str">
        <f>'Goals, Inventory, Budget'!C174</f>
        <v>your selection</v>
      </c>
      <c r="N174" s="11" t="str">
        <f>'Goals, Inventory, Budget'!F174</f>
        <v>lbs</v>
      </c>
      <c r="O174" s="60">
        <f>'Goals, Inventory, Budget'!G174</f>
      </c>
      <c r="P174" s="227">
        <f t="shared" si="80"/>
        <v>0</v>
      </c>
      <c r="Q174" s="137"/>
      <c r="R174" s="138"/>
      <c r="S174" s="30"/>
      <c r="T174" s="31"/>
      <c r="U174" s="139"/>
      <c r="V174" s="140">
        <f t="shared" si="81"/>
        <v>0</v>
      </c>
      <c r="W174" s="1"/>
      <c r="X174" s="136"/>
      <c r="Y174" s="141"/>
      <c r="Z174" s="691" t="str">
        <f>'Goals, Inventory, Budget'!C174</f>
        <v>your selection</v>
      </c>
      <c r="AA174" s="61">
        <f>'Goals, Inventory, Budget'!G174</f>
      </c>
      <c r="AB174" s="11" t="str">
        <f>'Goals, Inventory, Budget'!F174</f>
        <v>lbs</v>
      </c>
      <c r="AC174" s="74"/>
      <c r="AD174" s="40">
        <f>'Goals, Inventory, Budget'!I174</f>
      </c>
      <c r="AE174" s="19">
        <f>'Goals, Inventory, Budget'!J174</f>
      </c>
      <c r="AF174" s="20">
        <f>'Goals, Inventory, Budget'!K174</f>
      </c>
      <c r="AG174" s="146">
        <f t="shared" si="82"/>
      </c>
      <c r="AH174" s="147">
        <f t="shared" si="83"/>
      </c>
      <c r="AI174" s="147">
        <f t="shared" si="84"/>
      </c>
      <c r="AJ174" s="236">
        <f t="shared" si="85"/>
      </c>
      <c r="AK174" s="297"/>
    </row>
    <row r="175" spans="2:37" ht="12.75">
      <c r="B175" s="555"/>
      <c r="C175" s="9" t="s">
        <v>141</v>
      </c>
      <c r="D175" s="98" t="s">
        <v>177</v>
      </c>
      <c r="E175" s="1"/>
      <c r="F175" s="504" t="s">
        <v>23</v>
      </c>
      <c r="G175" s="61">
        <f t="shared" si="86"/>
      </c>
      <c r="H175" s="37">
        <f t="shared" si="75"/>
      </c>
      <c r="I175" s="40">
        <f t="shared" si="76"/>
      </c>
      <c r="J175" s="19">
        <f t="shared" si="77"/>
      </c>
      <c r="K175" s="20">
        <f t="shared" si="78"/>
      </c>
      <c r="L175" s="21">
        <f t="shared" si="79"/>
      </c>
      <c r="M175" s="108" t="str">
        <f>'Goals, Inventory, Budget'!C175</f>
        <v>your selection</v>
      </c>
      <c r="N175" s="11" t="str">
        <f>'Goals, Inventory, Budget'!F175</f>
        <v>lbs</v>
      </c>
      <c r="O175" s="60">
        <f>'Goals, Inventory, Budget'!G175</f>
      </c>
      <c r="P175" s="227">
        <f t="shared" si="80"/>
        <v>0</v>
      </c>
      <c r="Q175" s="137"/>
      <c r="R175" s="138"/>
      <c r="S175" s="30"/>
      <c r="T175" s="31"/>
      <c r="U175" s="139"/>
      <c r="V175" s="140">
        <f t="shared" si="81"/>
        <v>0</v>
      </c>
      <c r="W175" s="1"/>
      <c r="X175" s="136"/>
      <c r="Y175" s="141"/>
      <c r="Z175" s="691" t="str">
        <f>'Goals, Inventory, Budget'!C175</f>
        <v>your selection</v>
      </c>
      <c r="AA175" s="61">
        <f>'Goals, Inventory, Budget'!G175</f>
      </c>
      <c r="AB175" s="11" t="str">
        <f>'Goals, Inventory, Budget'!F175</f>
        <v>lbs</v>
      </c>
      <c r="AC175" s="74"/>
      <c r="AD175" s="40">
        <f>'Goals, Inventory, Budget'!I175</f>
      </c>
      <c r="AE175" s="19">
        <f>'Goals, Inventory, Budget'!J175</f>
      </c>
      <c r="AF175" s="20">
        <f>'Goals, Inventory, Budget'!K175</f>
      </c>
      <c r="AG175" s="146">
        <f t="shared" si="82"/>
      </c>
      <c r="AH175" s="147">
        <f t="shared" si="83"/>
      </c>
      <c r="AI175" s="147">
        <f t="shared" si="84"/>
      </c>
      <c r="AJ175" s="236">
        <f t="shared" si="85"/>
      </c>
      <c r="AK175" s="297"/>
    </row>
    <row r="176" spans="2:37" ht="12.75">
      <c r="B176" s="555"/>
      <c r="C176" s="9" t="s">
        <v>141</v>
      </c>
      <c r="D176" s="98" t="s">
        <v>177</v>
      </c>
      <c r="E176" s="1"/>
      <c r="F176" s="504" t="s">
        <v>23</v>
      </c>
      <c r="G176" s="61">
        <f t="shared" si="86"/>
      </c>
      <c r="H176" s="37">
        <f t="shared" si="75"/>
      </c>
      <c r="I176" s="40">
        <f t="shared" si="76"/>
      </c>
      <c r="J176" s="19">
        <f t="shared" si="77"/>
      </c>
      <c r="K176" s="20">
        <f t="shared" si="78"/>
      </c>
      <c r="L176" s="21">
        <f t="shared" si="79"/>
      </c>
      <c r="M176" s="108" t="str">
        <f>'Goals, Inventory, Budget'!C176</f>
        <v>your selection</v>
      </c>
      <c r="N176" s="11" t="str">
        <f>'Goals, Inventory, Budget'!F176</f>
        <v>lbs</v>
      </c>
      <c r="O176" s="60">
        <f>'Goals, Inventory, Budget'!G176</f>
      </c>
      <c r="P176" s="227">
        <f t="shared" si="80"/>
        <v>0</v>
      </c>
      <c r="Q176" s="137"/>
      <c r="R176" s="138"/>
      <c r="S176" s="30"/>
      <c r="T176" s="31"/>
      <c r="U176" s="139"/>
      <c r="V176" s="140">
        <f t="shared" si="81"/>
        <v>0</v>
      </c>
      <c r="W176" s="1"/>
      <c r="X176" s="136"/>
      <c r="Y176" s="141"/>
      <c r="Z176" s="691" t="str">
        <f>'Goals, Inventory, Budget'!C176</f>
        <v>your selection</v>
      </c>
      <c r="AA176" s="61">
        <f>'Goals, Inventory, Budget'!G176</f>
      </c>
      <c r="AB176" s="11" t="str">
        <f>'Goals, Inventory, Budget'!F176</f>
        <v>lbs</v>
      </c>
      <c r="AC176" s="74"/>
      <c r="AD176" s="40">
        <f>'Goals, Inventory, Budget'!I176</f>
      </c>
      <c r="AE176" s="19">
        <f>'Goals, Inventory, Budget'!J176</f>
      </c>
      <c r="AF176" s="20">
        <f>'Goals, Inventory, Budget'!K176</f>
      </c>
      <c r="AG176" s="146">
        <f t="shared" si="82"/>
      </c>
      <c r="AH176" s="147">
        <f t="shared" si="83"/>
      </c>
      <c r="AI176" s="147">
        <f t="shared" si="84"/>
      </c>
      <c r="AJ176" s="236">
        <f t="shared" si="85"/>
      </c>
      <c r="AK176" s="297"/>
    </row>
    <row r="177" spans="2:37" ht="13.5" thickBot="1">
      <c r="B177" s="555"/>
      <c r="C177" s="9" t="s">
        <v>141</v>
      </c>
      <c r="D177" s="98" t="s">
        <v>177</v>
      </c>
      <c r="E177" s="1"/>
      <c r="F177" s="504" t="s">
        <v>23</v>
      </c>
      <c r="G177" s="61">
        <f t="shared" si="86"/>
      </c>
      <c r="H177" s="37">
        <f t="shared" si="75"/>
      </c>
      <c r="I177" s="73">
        <f t="shared" si="76"/>
      </c>
      <c r="J177" s="56">
        <f t="shared" si="77"/>
      </c>
      <c r="K177" s="57">
        <f t="shared" si="78"/>
      </c>
      <c r="L177" s="25">
        <f t="shared" si="79"/>
      </c>
      <c r="M177" s="108" t="str">
        <f>'Goals, Inventory, Budget'!C177</f>
        <v>your selection</v>
      </c>
      <c r="N177" s="11" t="str">
        <f>'Goals, Inventory, Budget'!F177</f>
        <v>lbs</v>
      </c>
      <c r="O177" s="60">
        <f>'Goals, Inventory, Budget'!G177</f>
      </c>
      <c r="P177" s="227">
        <f t="shared" si="80"/>
        <v>0</v>
      </c>
      <c r="Q177" s="137"/>
      <c r="R177" s="138"/>
      <c r="S177" s="30"/>
      <c r="T177" s="31"/>
      <c r="U177" s="139"/>
      <c r="V177" s="140">
        <f t="shared" si="81"/>
        <v>0</v>
      </c>
      <c r="W177" s="1"/>
      <c r="X177" s="136"/>
      <c r="Y177" s="141"/>
      <c r="Z177" s="691" t="str">
        <f>'Goals, Inventory, Budget'!C177</f>
        <v>your selection</v>
      </c>
      <c r="AA177" s="61">
        <f>'Goals, Inventory, Budget'!G177</f>
      </c>
      <c r="AB177" s="11" t="str">
        <f>'Goals, Inventory, Budget'!F177</f>
        <v>lbs</v>
      </c>
      <c r="AC177" s="74"/>
      <c r="AD177" s="73">
        <f>'Goals, Inventory, Budget'!I177</f>
      </c>
      <c r="AE177" s="56">
        <f>'Goals, Inventory, Budget'!J177</f>
      </c>
      <c r="AF177" s="57">
        <f>'Goals, Inventory, Budget'!K177</f>
      </c>
      <c r="AG177" s="148">
        <f t="shared" si="82"/>
      </c>
      <c r="AH177" s="149">
        <f t="shared" si="83"/>
      </c>
      <c r="AI177" s="149">
        <f t="shared" si="84"/>
      </c>
      <c r="AJ177" s="250">
        <f t="shared" si="85"/>
      </c>
      <c r="AK177" s="296"/>
    </row>
    <row r="178" spans="2:37" ht="13.5" thickTop="1">
      <c r="B178" s="555"/>
      <c r="C178" s="517" t="s">
        <v>105</v>
      </c>
      <c r="D178" s="664"/>
      <c r="E178" s="122">
        <f>SUM(E168:E177)</f>
        <v>1</v>
      </c>
      <c r="F178" s="122" t="s">
        <v>23</v>
      </c>
      <c r="G178" s="59">
        <f>FamilyFactor*E178</f>
        <v>1</v>
      </c>
      <c r="H178" s="224">
        <f>P178</f>
        <v>0</v>
      </c>
      <c r="I178" s="41">
        <f>IF(G178="","",IF(H178="",G178-0,IF(G178&lt;H178,0,G178-H178)))</f>
        <v>1</v>
      </c>
      <c r="J178" s="52">
        <f>IF((G178/2-H178)&lt;=0,0,G178/2-H178)</f>
        <v>0.5</v>
      </c>
      <c r="K178" s="53">
        <f>IF((G178/4-H178)&lt;=0,0,G178/4-H178)</f>
        <v>0.25</v>
      </c>
      <c r="M178" s="177" t="str">
        <f>'Goals, Inventory, Budget'!C178</f>
        <v>Total Leaveners</v>
      </c>
      <c r="N178" s="126" t="str">
        <f>'Goals, Inventory, Budget'!F178</f>
        <v>lbs</v>
      </c>
      <c r="O178" s="59">
        <f>'Goals, Inventory, Budget'!G178</f>
        <v>1</v>
      </c>
      <c r="P178" s="224">
        <f>SUM(P168:P177)</f>
        <v>0</v>
      </c>
      <c r="Q178" s="591"/>
      <c r="R178" s="592"/>
      <c r="S178" s="593"/>
      <c r="T178" s="592"/>
      <c r="U178" s="593"/>
      <c r="V178" s="592"/>
      <c r="W178" s="594"/>
      <c r="X178" s="592"/>
      <c r="Y178" s="595"/>
      <c r="Z178" s="665" t="str">
        <f>'Goals, Inventory, Budget'!C178</f>
        <v>Total Leaveners</v>
      </c>
      <c r="AA178" s="59">
        <f>'Goals, Inventory, Budget'!G178</f>
        <v>1</v>
      </c>
      <c r="AB178" s="126" t="str">
        <f>'Goals, Inventory, Budget'!F178</f>
        <v>lbs</v>
      </c>
      <c r="AC178" s="84"/>
      <c r="AD178" s="41">
        <f>'Goals, Inventory, Budget'!I178</f>
        <v>1</v>
      </c>
      <c r="AE178" s="52">
        <f>'Goals, Inventory, Budget'!J178</f>
        <v>0.5</v>
      </c>
      <c r="AF178" s="53">
        <f>'Goals, Inventory, Budget'!K178</f>
        <v>0.25</v>
      </c>
      <c r="AG178" s="144">
        <f>SUM(AG168:AG177)</f>
        <v>0</v>
      </c>
      <c r="AH178" s="145">
        <f>SUM(AH168:AH177)</f>
        <v>0</v>
      </c>
      <c r="AI178" s="233">
        <f>SUM(AI168:AI177)</f>
        <v>0</v>
      </c>
      <c r="AJ178" s="249">
        <f>SUM(AJ168:AJ177)</f>
        <v>0</v>
      </c>
      <c r="AK178" s="654"/>
    </row>
    <row r="179" spans="2:37" ht="13.5" thickBot="1">
      <c r="B179" s="555"/>
      <c r="C179" s="498" t="s">
        <v>142</v>
      </c>
      <c r="D179" s="572"/>
      <c r="E179" s="572"/>
      <c r="F179" s="572"/>
      <c r="G179" s="572"/>
      <c r="H179" s="572"/>
      <c r="I179" s="572"/>
      <c r="J179" s="572"/>
      <c r="K179" s="617"/>
      <c r="M179" s="302" t="str">
        <f>'Goals, Inventory, Budget'!C179</f>
        <v>Equipment for Sprouting</v>
      </c>
      <c r="N179" s="303">
        <f>'Goals, Inventory, Budget'!F179</f>
        <v>0</v>
      </c>
      <c r="O179" s="303">
        <f>'Goals, Inventory, Budget'!G179</f>
        <v>0</v>
      </c>
      <c r="P179" s="303">
        <f>'Goals, Inventory, Budget'!H179</f>
        <v>0</v>
      </c>
      <c r="Q179" s="303">
        <f>'Goals, Inventory, Budget'!I179</f>
        <v>0</v>
      </c>
      <c r="R179" s="303">
        <f>'Goals, Inventory, Budget'!J179</f>
        <v>0</v>
      </c>
      <c r="S179" s="303">
        <f>'Goals, Inventory, Budget'!K179</f>
        <v>0</v>
      </c>
      <c r="T179" s="671"/>
      <c r="U179" s="672"/>
      <c r="V179" s="671"/>
      <c r="W179" s="673"/>
      <c r="X179" s="671"/>
      <c r="Y179" s="674"/>
      <c r="Z179" s="686" t="str">
        <f>'Goals, Inventory, Budget'!C179</f>
        <v>Equipment for Sprouting</v>
      </c>
      <c r="AA179" s="689"/>
      <c r="AB179" s="689"/>
      <c r="AC179" s="689"/>
      <c r="AD179" s="606"/>
      <c r="AE179" s="606"/>
      <c r="AF179" s="600"/>
      <c r="AG179" s="601"/>
      <c r="AH179" s="601"/>
      <c r="AI179" s="601"/>
      <c r="AJ179" s="607"/>
      <c r="AK179" s="603"/>
    </row>
    <row r="180" spans="2:37" ht="26.25" thickTop="1">
      <c r="B180" s="555"/>
      <c r="C180" s="9" t="s">
        <v>148</v>
      </c>
      <c r="D180" s="101" t="s">
        <v>18</v>
      </c>
      <c r="E180" s="3"/>
      <c r="F180" s="610" t="s">
        <v>15</v>
      </c>
      <c r="G180" s="61">
        <f aca="true" t="shared" si="87" ref="G180:G185">IF(E180=0,"",FamilyFactor*E180)</f>
      </c>
      <c r="H180" s="266">
        <f aca="true" t="shared" si="88" ref="H180:H185">IF(P180=0,"",P180)</f>
      </c>
      <c r="I180" s="12"/>
      <c r="J180" s="13"/>
      <c r="K180" s="14"/>
      <c r="M180" s="132" t="str">
        <f>'Goals, Inventory, Budget'!C180</f>
        <v>quart jar w/ screw ring &amp; seal (for homemade sprouter)</v>
      </c>
      <c r="N180" s="23" t="str">
        <f>'Goals, Inventory, Budget'!F180</f>
        <v>Units</v>
      </c>
      <c r="O180" s="61">
        <f>'Goals, Inventory, Budget'!G180</f>
      </c>
      <c r="P180" s="675"/>
      <c r="Q180" s="12"/>
      <c r="R180" s="622"/>
      <c r="S180" s="257"/>
      <c r="Z180" s="611" t="str">
        <f>'Goals, Inventory, Budget'!C180</f>
        <v>quart jar w/ screw ring &amp; seal (for homemade sprouter)</v>
      </c>
      <c r="AA180" s="61">
        <f>'Goals, Inventory, Budget'!G180</f>
      </c>
      <c r="AB180" s="23" t="str">
        <f>'Goals, Inventory, Budget'!F180</f>
        <v>Units</v>
      </c>
      <c r="AC180" s="82"/>
      <c r="AD180" s="12"/>
      <c r="AE180" s="13"/>
      <c r="AF180" s="14"/>
      <c r="AG180" s="151">
        <f aca="true" t="shared" si="89" ref="AG180:AG185">IF(AC180="",0,AC180*AA180)</f>
        <v>0</v>
      </c>
      <c r="AH180" s="77"/>
      <c r="AI180" s="77"/>
      <c r="AJ180" s="77"/>
      <c r="AK180" s="297"/>
    </row>
    <row r="181" spans="2:37" ht="12.75">
      <c r="B181" s="555"/>
      <c r="C181" s="9" t="s">
        <v>146</v>
      </c>
      <c r="D181" s="101" t="s">
        <v>18</v>
      </c>
      <c r="E181" s="3"/>
      <c r="F181" s="610" t="s">
        <v>15</v>
      </c>
      <c r="G181" s="61">
        <f>IF(E181=0,"",FamilyFactor*E181)</f>
      </c>
      <c r="H181" s="266">
        <f t="shared" si="88"/>
      </c>
      <c r="I181" s="15"/>
      <c r="J181" s="16"/>
      <c r="K181" s="17"/>
      <c r="M181" s="132" t="str">
        <f>'Goals, Inventory, Budget'!C181</f>
        <v>rubber bands</v>
      </c>
      <c r="N181" s="23" t="str">
        <f>'Goals, Inventory, Budget'!F181</f>
        <v>Units</v>
      </c>
      <c r="O181" s="61">
        <f>'Goals, Inventory, Budget'!G181</f>
      </c>
      <c r="P181" s="675"/>
      <c r="Q181" s="15"/>
      <c r="R181" s="540"/>
      <c r="S181" s="258"/>
      <c r="Z181" s="611" t="str">
        <f>'Goals, Inventory, Budget'!C181</f>
        <v>rubber bands</v>
      </c>
      <c r="AA181" s="61">
        <f>'Goals, Inventory, Budget'!G181</f>
      </c>
      <c r="AB181" s="23" t="str">
        <f>'Goals, Inventory, Budget'!F181</f>
        <v>Units</v>
      </c>
      <c r="AC181" s="82"/>
      <c r="AD181" s="15"/>
      <c r="AE181" s="16"/>
      <c r="AF181" s="17"/>
      <c r="AG181" s="151">
        <f t="shared" si="89"/>
        <v>0</v>
      </c>
      <c r="AH181" s="78"/>
      <c r="AI181" s="78"/>
      <c r="AJ181" s="78"/>
      <c r="AK181" s="297"/>
    </row>
    <row r="182" spans="2:37" ht="12.75">
      <c r="B182" s="555"/>
      <c r="C182" s="9" t="s">
        <v>71</v>
      </c>
      <c r="D182" s="101" t="s">
        <v>18</v>
      </c>
      <c r="E182" s="3"/>
      <c r="F182" s="610" t="s">
        <v>74</v>
      </c>
      <c r="G182" s="61">
        <f>IF(E182=0,"",FamilyFactor*E182)</f>
      </c>
      <c r="H182" s="266">
        <f t="shared" si="88"/>
      </c>
      <c r="I182" s="15"/>
      <c r="J182" s="16"/>
      <c r="K182" s="17"/>
      <c r="M182" s="132" t="str">
        <f>'Goals, Inventory, Budget'!C182</f>
        <v>cheese cloth</v>
      </c>
      <c r="N182" s="23" t="str">
        <f>'Goals, Inventory, Budget'!F182</f>
        <v>yard</v>
      </c>
      <c r="O182" s="61">
        <f>'Goals, Inventory, Budget'!G182</f>
      </c>
      <c r="P182" s="675"/>
      <c r="Q182" s="15"/>
      <c r="R182" s="540"/>
      <c r="S182" s="258"/>
      <c r="Z182" s="611" t="str">
        <f>'Goals, Inventory, Budget'!C182</f>
        <v>cheese cloth</v>
      </c>
      <c r="AA182" s="61">
        <f>'Goals, Inventory, Budget'!G182</f>
      </c>
      <c r="AB182" s="23" t="str">
        <f>'Goals, Inventory, Budget'!F182</f>
        <v>yard</v>
      </c>
      <c r="AC182" s="82"/>
      <c r="AD182" s="15"/>
      <c r="AE182" s="16"/>
      <c r="AF182" s="17"/>
      <c r="AG182" s="151">
        <f t="shared" si="89"/>
        <v>0</v>
      </c>
      <c r="AH182" s="78"/>
      <c r="AI182" s="78"/>
      <c r="AJ182" s="78"/>
      <c r="AK182" s="297"/>
    </row>
    <row r="183" spans="2:37" ht="12.75">
      <c r="B183" s="555"/>
      <c r="C183" s="9" t="s">
        <v>143</v>
      </c>
      <c r="D183" s="101" t="s">
        <v>18</v>
      </c>
      <c r="E183" s="3"/>
      <c r="F183" s="610" t="s">
        <v>74</v>
      </c>
      <c r="G183" s="61">
        <f>IF(E183=0,"",FamilyFactor*E183)</f>
      </c>
      <c r="H183" s="266">
        <f t="shared" si="88"/>
      </c>
      <c r="I183" s="15"/>
      <c r="J183" s="16"/>
      <c r="K183" s="17"/>
      <c r="M183" s="132" t="str">
        <f>'Goals, Inventory, Budget'!C183</f>
        <v>nylon netting</v>
      </c>
      <c r="N183" s="23" t="str">
        <f>'Goals, Inventory, Budget'!F183</f>
        <v>yard</v>
      </c>
      <c r="O183" s="61">
        <f>'Goals, Inventory, Budget'!G183</f>
      </c>
      <c r="P183" s="675"/>
      <c r="Q183" s="15"/>
      <c r="R183" s="540"/>
      <c r="S183" s="258"/>
      <c r="Z183" s="611" t="str">
        <f>'Goals, Inventory, Budget'!C183</f>
        <v>nylon netting</v>
      </c>
      <c r="AA183" s="61">
        <f>'Goals, Inventory, Budget'!G183</f>
      </c>
      <c r="AB183" s="23" t="str">
        <f>'Goals, Inventory, Budget'!F183</f>
        <v>yard</v>
      </c>
      <c r="AC183" s="82"/>
      <c r="AD183" s="15"/>
      <c r="AE183" s="16"/>
      <c r="AF183" s="17"/>
      <c r="AG183" s="151">
        <f t="shared" si="89"/>
        <v>0</v>
      </c>
      <c r="AH183" s="78"/>
      <c r="AI183" s="78"/>
      <c r="AJ183" s="78"/>
      <c r="AK183" s="297"/>
    </row>
    <row r="184" spans="2:37" ht="12.75">
      <c r="B184" s="555"/>
      <c r="C184" s="9" t="s">
        <v>147</v>
      </c>
      <c r="D184" s="101" t="s">
        <v>18</v>
      </c>
      <c r="E184" s="3"/>
      <c r="F184" s="610" t="s">
        <v>15</v>
      </c>
      <c r="G184" s="61">
        <f t="shared" si="87"/>
      </c>
      <c r="H184" s="266">
        <f t="shared" si="88"/>
      </c>
      <c r="I184" s="15"/>
      <c r="J184" s="16"/>
      <c r="K184" s="17"/>
      <c r="M184" s="132" t="str">
        <f>'Goals, Inventory, Budget'!C184</f>
        <v>commercial sprouter</v>
      </c>
      <c r="N184" s="23" t="str">
        <f>'Goals, Inventory, Budget'!F184</f>
        <v>Units</v>
      </c>
      <c r="O184" s="61">
        <f>'Goals, Inventory, Budget'!G184</f>
      </c>
      <c r="P184" s="675"/>
      <c r="Q184" s="15"/>
      <c r="R184" s="540"/>
      <c r="S184" s="258"/>
      <c r="Z184" s="611" t="str">
        <f>'Goals, Inventory, Budget'!C184</f>
        <v>commercial sprouter</v>
      </c>
      <c r="AA184" s="61">
        <f>'Goals, Inventory, Budget'!G184</f>
      </c>
      <c r="AB184" s="23" t="str">
        <f>'Goals, Inventory, Budget'!F184</f>
        <v>Units</v>
      </c>
      <c r="AC184" s="82"/>
      <c r="AD184" s="15"/>
      <c r="AE184" s="16"/>
      <c r="AF184" s="17"/>
      <c r="AG184" s="151">
        <f t="shared" si="89"/>
        <v>0</v>
      </c>
      <c r="AH184" s="78"/>
      <c r="AI184" s="78"/>
      <c r="AJ184" s="78"/>
      <c r="AK184" s="297"/>
    </row>
    <row r="185" spans="2:37" ht="13.5" thickBot="1">
      <c r="B185" s="555"/>
      <c r="C185" s="9" t="s">
        <v>145</v>
      </c>
      <c r="D185" s="101" t="s">
        <v>18</v>
      </c>
      <c r="E185" s="3"/>
      <c r="F185" s="610" t="s">
        <v>15</v>
      </c>
      <c r="G185" s="61">
        <f t="shared" si="87"/>
      </c>
      <c r="H185" s="266">
        <f t="shared" si="88"/>
      </c>
      <c r="I185" s="15"/>
      <c r="J185" s="16"/>
      <c r="K185" s="17"/>
      <c r="M185" s="132" t="str">
        <f>'Goals, Inventory, Budget'!C185</f>
        <v>colander or strainer</v>
      </c>
      <c r="N185" s="23" t="str">
        <f>'Goals, Inventory, Budget'!F185</f>
        <v>Units</v>
      </c>
      <c r="O185" s="61">
        <f>'Goals, Inventory, Budget'!G185</f>
      </c>
      <c r="P185" s="675"/>
      <c r="Q185" s="15"/>
      <c r="R185" s="540"/>
      <c r="S185" s="258"/>
      <c r="Z185" s="611" t="str">
        <f>'Goals, Inventory, Budget'!C185</f>
        <v>colander or strainer</v>
      </c>
      <c r="AA185" s="61">
        <f>'Goals, Inventory, Budget'!G185</f>
      </c>
      <c r="AB185" s="23" t="str">
        <f>'Goals, Inventory, Budget'!F185</f>
        <v>Units</v>
      </c>
      <c r="AC185" s="82"/>
      <c r="AD185" s="15"/>
      <c r="AE185" s="16"/>
      <c r="AF185" s="17"/>
      <c r="AG185" s="152">
        <f t="shared" si="89"/>
        <v>0</v>
      </c>
      <c r="AH185" s="78"/>
      <c r="AI185" s="243"/>
      <c r="AJ185" s="78"/>
      <c r="AK185" s="298"/>
    </row>
    <row r="186" spans="2:36" ht="64.5" thickBot="1">
      <c r="B186" s="555"/>
      <c r="C186" s="626" t="s">
        <v>144</v>
      </c>
      <c r="D186" s="627"/>
      <c r="E186" s="125" t="s">
        <v>276</v>
      </c>
      <c r="F186" s="125" t="s">
        <v>15</v>
      </c>
      <c r="G186" s="124" t="s">
        <v>190</v>
      </c>
      <c r="H186" s="124" t="s">
        <v>189</v>
      </c>
      <c r="I186" s="124" t="s">
        <v>55</v>
      </c>
      <c r="J186" s="124" t="s">
        <v>56</v>
      </c>
      <c r="K186" s="123" t="s">
        <v>57</v>
      </c>
      <c r="M186" s="133" t="str">
        <f>'Goals, Inventory, Budget'!C186</f>
        <v>Sprouting - Seeds &amp; Supplies</v>
      </c>
      <c r="N186" s="125" t="str">
        <f>'Goals, Inventory, Budget'!F186</f>
        <v>Units</v>
      </c>
      <c r="O186" s="124" t="str">
        <f>'Goals, Inventory, Budget'!G186</f>
        <v>Family Total Goal</v>
      </c>
      <c r="P186" s="124" t="str">
        <f>'Goals, Inventory, Budget'!H186</f>
        <v>In Inventory</v>
      </c>
      <c r="Q186" s="124" t="str">
        <f>'Goals, Inventory, Budget'!I186</f>
        <v>Still Need for 12 months</v>
      </c>
      <c r="R186" s="134" t="str">
        <f>'Goals, Inventory, Budget'!J186</f>
        <v>Still Need for 6 months</v>
      </c>
      <c r="S186" s="135" t="str">
        <f>'Goals, Inventory, Budget'!K186</f>
        <v>Still Need for 3 months</v>
      </c>
      <c r="Z186" s="657" t="str">
        <f>'Goals, Inventory, Budget'!C186</f>
        <v>Sprouting - Seeds &amp; Supplies</v>
      </c>
      <c r="AA186" s="124" t="str">
        <f>'Goals, Inventory, Budget'!G186</f>
        <v>Family Total Goal</v>
      </c>
      <c r="AB186" s="125" t="str">
        <f>'Goals, Inventory, Budget'!F186</f>
        <v>Units</v>
      </c>
      <c r="AC186" s="150" t="s">
        <v>209</v>
      </c>
      <c r="AD186" s="124" t="str">
        <f>'Goals, Inventory, Budget'!I186</f>
        <v>Still Need for 12 months</v>
      </c>
      <c r="AE186" s="658" t="str">
        <f>'Goals, Inventory, Budget'!J186</f>
        <v>Still Need for 6 months</v>
      </c>
      <c r="AF186" s="659" t="str">
        <f>'Goals, Inventory, Budget'!K186</f>
        <v>Still Need for 3 months</v>
      </c>
      <c r="AG186" s="660" t="s">
        <v>210</v>
      </c>
      <c r="AH186" s="660" t="s">
        <v>211</v>
      </c>
      <c r="AI186" s="661" t="s">
        <v>212</v>
      </c>
      <c r="AJ186" s="662" t="s">
        <v>281</v>
      </c>
    </row>
    <row r="187" spans="2:36" ht="14.25" thickBot="1" thickTop="1">
      <c r="B187" s="555"/>
      <c r="C187" s="635" t="s">
        <v>48</v>
      </c>
      <c r="D187" s="636"/>
      <c r="E187" s="676">
        <f>E178</f>
        <v>1</v>
      </c>
      <c r="F187" s="637" t="s">
        <v>23</v>
      </c>
      <c r="G187" s="67">
        <f>FamilyFactor*E187</f>
        <v>1</v>
      </c>
      <c r="H187" s="229">
        <f>P187</f>
        <v>0</v>
      </c>
      <c r="I187" s="43">
        <f>IF(G187="","",IF(H187="",G187-0,IF(G187&lt;H187,0,G187-H187)))</f>
        <v>1</v>
      </c>
      <c r="J187" s="54">
        <f>IF((G187/2-H187)&lt;=0,0,G187/2-H187)</f>
        <v>0.5</v>
      </c>
      <c r="K187" s="55">
        <f>IF((G187/4-H187)&lt;=0,0,G187/4-H187)</f>
        <v>0.25</v>
      </c>
      <c r="M187" s="128" t="str">
        <f>'Goals, Inventory, Budget'!C187</f>
        <v>Grand Total</v>
      </c>
      <c r="N187" s="129" t="str">
        <f>'Goals, Inventory, Budget'!F187</f>
        <v>lbs</v>
      </c>
      <c r="O187" s="67">
        <f>'Goals, Inventory, Budget'!G187</f>
        <v>1</v>
      </c>
      <c r="P187" s="229">
        <f>P178</f>
        <v>0</v>
      </c>
      <c r="Q187" s="43">
        <f>'Goals, Inventory, Budget'!I187</f>
        <v>1</v>
      </c>
      <c r="R187" s="54">
        <f>'Goals, Inventory, Budget'!J187</f>
        <v>0.5</v>
      </c>
      <c r="S187" s="49">
        <f>'Goals, Inventory, Budget'!K187</f>
        <v>0.25</v>
      </c>
      <c r="Z187" s="663" t="str">
        <f>'Goals, Inventory, Budget'!C187</f>
        <v>Grand Total</v>
      </c>
      <c r="AA187" s="67">
        <f>'Goals, Inventory, Budget'!G187</f>
        <v>1</v>
      </c>
      <c r="AB187" s="129" t="str">
        <f>'Goals, Inventory, Budget'!F187</f>
        <v>lbs</v>
      </c>
      <c r="AC187" s="83"/>
      <c r="AD187" s="43">
        <f>'Goals, Inventory, Budget'!I187</f>
        <v>1</v>
      </c>
      <c r="AE187" s="54">
        <f>'Goals, Inventory, Budget'!J187</f>
        <v>0.5</v>
      </c>
      <c r="AF187" s="55">
        <f>'Goals, Inventory, Budget'!K187</f>
        <v>0.25</v>
      </c>
      <c r="AG187" s="159">
        <f>AG178+SUM(AG180:AG185)</f>
        <v>0</v>
      </c>
      <c r="AH187" s="160">
        <f>AH178</f>
        <v>0</v>
      </c>
      <c r="AI187" s="252">
        <f>AI178</f>
        <v>0</v>
      </c>
      <c r="AJ187" s="247">
        <f>AJ178</f>
        <v>0</v>
      </c>
    </row>
    <row r="188" spans="2:40" s="199" customFormat="1" ht="14.25" thickBot="1" thickTop="1">
      <c r="B188" s="553"/>
      <c r="C188" s="205"/>
      <c r="D188" s="547"/>
      <c r="E188" s="202"/>
      <c r="F188" s="202"/>
      <c r="G188" s="201"/>
      <c r="H188" s="201"/>
      <c r="I188" s="203"/>
      <c r="J188" s="203"/>
      <c r="K188" s="203"/>
      <c r="L188" s="204"/>
      <c r="M188" s="205"/>
      <c r="N188" s="202"/>
      <c r="O188" s="201"/>
      <c r="P188" s="201"/>
      <c r="Q188" s="203"/>
      <c r="R188" s="204"/>
      <c r="S188" s="201"/>
      <c r="T188" s="204"/>
      <c r="U188" s="201"/>
      <c r="V188" s="204"/>
      <c r="W188" s="202"/>
      <c r="X188" s="204"/>
      <c r="Y188" s="201"/>
      <c r="Z188" s="554"/>
      <c r="AA188" s="201"/>
      <c r="AB188" s="202"/>
      <c r="AC188" s="208"/>
      <c r="AD188" s="203"/>
      <c r="AE188" s="201"/>
      <c r="AF188" s="206"/>
      <c r="AG188" s="207"/>
      <c r="AH188" s="208"/>
      <c r="AI188" s="208"/>
      <c r="AJ188" s="208"/>
      <c r="AK188" s="289"/>
      <c r="AL188" s="288"/>
      <c r="AM188" s="289"/>
      <c r="AN188" s="289"/>
    </row>
    <row r="189" spans="2:37" ht="17.25" thickBot="1" thickTop="1">
      <c r="B189" s="555" t="s">
        <v>163</v>
      </c>
      <c r="C189" s="304" t="s">
        <v>163</v>
      </c>
      <c r="D189" s="556"/>
      <c r="E189" s="556"/>
      <c r="F189" s="556"/>
      <c r="G189" s="556"/>
      <c r="H189" s="556"/>
      <c r="I189" s="692"/>
      <c r="J189" s="558"/>
      <c r="K189" s="558"/>
      <c r="L189" s="96"/>
      <c r="M189" s="304" t="str">
        <f>'Goals, Inventory, Budget'!C189</f>
        <v>Other Church Offered Food Storage Items and Additional Misc. Items</v>
      </c>
      <c r="N189" s="305">
        <f>'Goals, Inventory, Budget'!F189</f>
        <v>0</v>
      </c>
      <c r="O189" s="305">
        <f>'Goals, Inventory, Budget'!G189</f>
        <v>0</v>
      </c>
      <c r="P189" s="305">
        <f>'Goals, Inventory, Budget'!H189</f>
        <v>0</v>
      </c>
      <c r="Q189" s="305">
        <f>'Goals, Inventory, Budget'!I189</f>
        <v>0</v>
      </c>
      <c r="R189" s="305">
        <f>'Goals, Inventory, Budget'!J189</f>
        <v>0</v>
      </c>
      <c r="S189" s="305">
        <f>'Goals, Inventory, Budget'!K189</f>
        <v>0</v>
      </c>
      <c r="T189" s="110"/>
      <c r="U189" s="112"/>
      <c r="V189" s="110"/>
      <c r="W189" s="111"/>
      <c r="X189" s="110"/>
      <c r="Y189" s="116"/>
      <c r="Z189" s="641" t="str">
        <f>'Goals, Inventory, Budget'!C189</f>
        <v>Other Church Offered Food Storage Items and Additional Misc. Items</v>
      </c>
      <c r="AA189" s="693"/>
      <c r="AB189" s="693"/>
      <c r="AC189" s="693"/>
      <c r="AD189" s="693"/>
      <c r="AE189" s="693"/>
      <c r="AF189" s="694"/>
      <c r="AG189" s="646"/>
      <c r="AH189" s="645"/>
      <c r="AI189" s="646"/>
      <c r="AJ189" s="647"/>
      <c r="AK189" s="292"/>
    </row>
    <row r="190" spans="2:37" ht="63.75">
      <c r="B190" s="555"/>
      <c r="C190" s="483" t="s">
        <v>13</v>
      </c>
      <c r="D190" s="484" t="s">
        <v>14</v>
      </c>
      <c r="E190" s="455" t="s">
        <v>276</v>
      </c>
      <c r="F190" s="455" t="s">
        <v>15</v>
      </c>
      <c r="G190" s="485" t="s">
        <v>190</v>
      </c>
      <c r="H190" s="485" t="s">
        <v>189</v>
      </c>
      <c r="I190" s="485" t="s">
        <v>55</v>
      </c>
      <c r="J190" s="485" t="s">
        <v>56</v>
      </c>
      <c r="K190" s="567" t="s">
        <v>57</v>
      </c>
      <c r="L190" s="46" t="s">
        <v>187</v>
      </c>
      <c r="M190" s="178" t="str">
        <f>'Goals, Inventory, Budget'!C190</f>
        <v>Storage Item</v>
      </c>
      <c r="N190" s="179" t="str">
        <f>'Goals, Inventory, Budget'!F190</f>
        <v>Units</v>
      </c>
      <c r="O190" s="180" t="str">
        <f>'Goals, Inventory, Budget'!G190</f>
        <v>Family Total Goal</v>
      </c>
      <c r="P190" s="180" t="str">
        <f>'Goals, Inventory, Budget'!H190</f>
        <v>In Inventory</v>
      </c>
      <c r="Q190" s="180" t="s">
        <v>191</v>
      </c>
      <c r="R190" s="181" t="s">
        <v>192</v>
      </c>
      <c r="S190" s="180" t="s">
        <v>193</v>
      </c>
      <c r="T190" s="182" t="s">
        <v>194</v>
      </c>
      <c r="U190" s="183" t="s">
        <v>195</v>
      </c>
      <c r="V190" s="182" t="s">
        <v>196</v>
      </c>
      <c r="W190" s="184" t="s">
        <v>197</v>
      </c>
      <c r="X190" s="185" t="s">
        <v>198</v>
      </c>
      <c r="Y190" s="186" t="s">
        <v>199</v>
      </c>
      <c r="Z190" s="483" t="str">
        <f>'Goals, Inventory, Budget'!C190</f>
        <v>Storage Item</v>
      </c>
      <c r="AA190" s="485" t="str">
        <f>'Goals, Inventory, Budget'!G190</f>
        <v>Family Total Goal</v>
      </c>
      <c r="AB190" s="455" t="str">
        <f>'Goals, Inventory, Budget'!F190</f>
        <v>Units</v>
      </c>
      <c r="AC190" s="648" t="s">
        <v>209</v>
      </c>
      <c r="AD190" s="485" t="str">
        <f>'Goals, Inventory, Budget'!I190</f>
        <v>Still Need for 12 months</v>
      </c>
      <c r="AE190" s="485" t="str">
        <f>'Goals, Inventory, Budget'!J190</f>
        <v>Still Need for 6 months</v>
      </c>
      <c r="AF190" s="567" t="str">
        <f>'Goals, Inventory, Budget'!K190</f>
        <v>Still Need for 3 months</v>
      </c>
      <c r="AG190" s="649" t="s">
        <v>210</v>
      </c>
      <c r="AH190" s="649" t="s">
        <v>211</v>
      </c>
      <c r="AI190" s="650" t="s">
        <v>212</v>
      </c>
      <c r="AJ190" s="651" t="s">
        <v>281</v>
      </c>
      <c r="AK190" s="290" t="s">
        <v>285</v>
      </c>
    </row>
    <row r="191" spans="2:37" ht="12.75">
      <c r="B191" s="555"/>
      <c r="C191" s="498" t="s">
        <v>164</v>
      </c>
      <c r="D191" s="572"/>
      <c r="E191" s="572"/>
      <c r="F191" s="572"/>
      <c r="G191" s="572"/>
      <c r="H191" s="572"/>
      <c r="I191" s="572"/>
      <c r="J191" s="572"/>
      <c r="K191" s="617"/>
      <c r="L191" s="97"/>
      <c r="M191" s="302" t="str">
        <f>'Goals, Inventory, Budget'!C191</f>
        <v>Church Offered Items</v>
      </c>
      <c r="N191" s="303">
        <f>'Goals, Inventory, Budget'!F191</f>
        <v>0</v>
      </c>
      <c r="O191" s="303">
        <f>'Goals, Inventory, Budget'!G191</f>
        <v>0</v>
      </c>
      <c r="P191" s="303">
        <f>'Goals, Inventory, Budget'!H191</f>
        <v>0</v>
      </c>
      <c r="Q191" s="303">
        <f>'Goals, Inventory, Budget'!I191</f>
        <v>0</v>
      </c>
      <c r="R191" s="303">
        <f>'Goals, Inventory, Budget'!J191</f>
        <v>0</v>
      </c>
      <c r="S191" s="303">
        <f>'Goals, Inventory, Budget'!K191</f>
        <v>0</v>
      </c>
      <c r="T191" s="114"/>
      <c r="U191" s="113"/>
      <c r="V191" s="114"/>
      <c r="W191" s="115"/>
      <c r="X191" s="114"/>
      <c r="Y191" s="121"/>
      <c r="Z191" s="686" t="str">
        <f>'Goals, Inventory, Budget'!C191</f>
        <v>Church Offered Items</v>
      </c>
      <c r="AA191" s="689"/>
      <c r="AB191" s="689"/>
      <c r="AC191" s="689"/>
      <c r="AD191" s="606"/>
      <c r="AE191" s="606"/>
      <c r="AF191" s="600"/>
      <c r="AG191" s="601"/>
      <c r="AH191" s="601"/>
      <c r="AI191" s="601"/>
      <c r="AJ191" s="607"/>
      <c r="AK191" s="578"/>
    </row>
    <row r="192" spans="2:37" ht="12.75">
      <c r="B192" s="555"/>
      <c r="C192" s="104" t="s">
        <v>83</v>
      </c>
      <c r="D192" s="98" t="s">
        <v>176</v>
      </c>
      <c r="E192" s="1"/>
      <c r="F192" s="504" t="s">
        <v>23</v>
      </c>
      <c r="G192" s="61">
        <f>IF(E192=0,"",FamilyFactor*E192)</f>
      </c>
      <c r="H192" s="38">
        <f aca="true" t="shared" si="90" ref="H192:H201">IF(P192=0,"",P192)</f>
      </c>
      <c r="I192" s="40">
        <f aca="true" t="shared" si="91" ref="I192:I201">IF(G192="","",IF(H192="",G192-0,G192-H192))</f>
      </c>
      <c r="J192" s="19">
        <f aca="true" t="shared" si="92" ref="J192:J201">IF(G192="","",IF(H192="",G192/2-0,IF((G192/2-H192)&lt;=0,0,G192/2-H192)))</f>
      </c>
      <c r="K192" s="20">
        <f aca="true" t="shared" si="93" ref="K192:K201">IF(G192="","",IF(H192="",G192/4-0,IF((G192/4-H192)&lt;=0,0,G192/4-H192)))</f>
      </c>
      <c r="L192" s="21">
        <f aca="true" t="shared" si="94" ref="L192:L201">IF(H192="","",IF(D192="indefinite",0,IF(D192="varies","varies",H192/D192)))</f>
      </c>
      <c r="M192" s="108" t="str">
        <f>'Goals, Inventory, Budget'!C192</f>
        <v>Apple Slices</v>
      </c>
      <c r="N192" s="11" t="str">
        <f>'Goals, Inventory, Budget'!F192</f>
        <v>lbs</v>
      </c>
      <c r="O192" s="60">
        <f>'Goals, Inventory, Budget'!G192</f>
      </c>
      <c r="P192" s="227">
        <f aca="true" t="shared" si="95" ref="P192:P201">Q192*R192+S192*T192+U192*V192+X192*Y192</f>
        <v>0</v>
      </c>
      <c r="Q192" s="137"/>
      <c r="R192" s="138"/>
      <c r="S192" s="30"/>
      <c r="T192" s="31"/>
      <c r="U192" s="139"/>
      <c r="V192" s="140">
        <f aca="true" t="shared" si="96" ref="V192:V201">IF(R192=0,0,R192*5/0.75)</f>
        <v>0</v>
      </c>
      <c r="W192" s="1"/>
      <c r="X192" s="136"/>
      <c r="Y192" s="141"/>
      <c r="Z192" s="172" t="str">
        <f>'Goals, Inventory, Budget'!C192</f>
        <v>Apple Slices</v>
      </c>
      <c r="AA192" s="61">
        <f>'Goals, Inventory, Budget'!G192</f>
      </c>
      <c r="AB192" s="11" t="str">
        <f>'Goals, Inventory, Budget'!F192</f>
        <v>lbs</v>
      </c>
      <c r="AC192" s="74">
        <v>3.17</v>
      </c>
      <c r="AD192" s="40">
        <f>'Goals, Inventory, Budget'!I192</f>
      </c>
      <c r="AE192" s="19">
        <f>'Goals, Inventory, Budget'!J192</f>
      </c>
      <c r="AF192" s="20">
        <f>'Goals, Inventory, Budget'!K192</f>
      </c>
      <c r="AG192" s="146">
        <f aca="true" t="shared" si="97" ref="AG192:AG201">IF(AA192="","",IF(AC192=0,"price?",AD192*AC192))</f>
      </c>
      <c r="AH192" s="147">
        <f aca="true" t="shared" si="98" ref="AH192:AH201">IF(AA192="","",IF(AC192=0,"price?",AE192*AC192))</f>
      </c>
      <c r="AI192" s="147">
        <f aca="true" t="shared" si="99" ref="AI192:AI201">IF(AA192="","",IF(AC192=0,"price?",AF192*AC192))</f>
      </c>
      <c r="AJ192" s="236">
        <f aca="true" t="shared" si="100" ref="AJ192:AJ201">IF(AA192="","",IF(AC192=0,"price?",IF(AD192=0,0,AA192*AC192/12)))</f>
      </c>
      <c r="AK192" s="297"/>
    </row>
    <row r="193" spans="2:37" ht="12.75">
      <c r="B193" s="555"/>
      <c r="C193" s="104" t="s">
        <v>82</v>
      </c>
      <c r="D193" s="98" t="s">
        <v>175</v>
      </c>
      <c r="E193" s="1"/>
      <c r="F193" s="504" t="s">
        <v>23</v>
      </c>
      <c r="G193" s="61">
        <f>IF(E193=0,"",FamilyFactor*E193)</f>
      </c>
      <c r="H193" s="38">
        <f t="shared" si="90"/>
      </c>
      <c r="I193" s="40">
        <f t="shared" si="91"/>
      </c>
      <c r="J193" s="19">
        <f t="shared" si="92"/>
      </c>
      <c r="K193" s="20">
        <f t="shared" si="93"/>
      </c>
      <c r="L193" s="21">
        <f t="shared" si="94"/>
      </c>
      <c r="M193" s="108" t="str">
        <f>'Goals, Inventory, Budget'!C193</f>
        <v>Carrots</v>
      </c>
      <c r="N193" s="11" t="str">
        <f>'Goals, Inventory, Budget'!F193</f>
        <v>lbs</v>
      </c>
      <c r="O193" s="60">
        <f>'Goals, Inventory, Budget'!G193</f>
      </c>
      <c r="P193" s="227">
        <f t="shared" si="95"/>
        <v>0</v>
      </c>
      <c r="Q193" s="137"/>
      <c r="R193" s="138"/>
      <c r="S193" s="30"/>
      <c r="T193" s="31"/>
      <c r="U193" s="139"/>
      <c r="V193" s="140">
        <f t="shared" si="96"/>
        <v>0</v>
      </c>
      <c r="W193" s="1"/>
      <c r="X193" s="136"/>
      <c r="Y193" s="141"/>
      <c r="Z193" s="172" t="str">
        <f>'Goals, Inventory, Budget'!C193</f>
        <v>Carrots</v>
      </c>
      <c r="AA193" s="61">
        <f>'Goals, Inventory, Budget'!G193</f>
      </c>
      <c r="AB193" s="11" t="str">
        <f>'Goals, Inventory, Budget'!F193</f>
        <v>lbs</v>
      </c>
      <c r="AC193" s="74">
        <v>2.42</v>
      </c>
      <c r="AD193" s="40">
        <f>'Goals, Inventory, Budget'!I193</f>
      </c>
      <c r="AE193" s="19">
        <f>'Goals, Inventory, Budget'!J193</f>
      </c>
      <c r="AF193" s="20">
        <f>'Goals, Inventory, Budget'!K193</f>
      </c>
      <c r="AG193" s="146">
        <f t="shared" si="97"/>
      </c>
      <c r="AH193" s="147">
        <f t="shared" si="98"/>
      </c>
      <c r="AI193" s="147">
        <f t="shared" si="99"/>
      </c>
      <c r="AJ193" s="236">
        <f t="shared" si="100"/>
      </c>
      <c r="AK193" s="297"/>
    </row>
    <row r="194" spans="2:37" ht="12.75">
      <c r="B194" s="555"/>
      <c r="C194" s="9" t="s">
        <v>87</v>
      </c>
      <c r="D194" s="98" t="s">
        <v>176</v>
      </c>
      <c r="E194" s="1"/>
      <c r="F194" s="504" t="s">
        <v>23</v>
      </c>
      <c r="G194" s="61">
        <f aca="true" t="shared" si="101" ref="G194:G201">IF(E194=0,"",FamilyFactor*E194)</f>
      </c>
      <c r="H194" s="37">
        <f t="shared" si="90"/>
      </c>
      <c r="I194" s="40">
        <f t="shared" si="91"/>
      </c>
      <c r="J194" s="19">
        <f t="shared" si="92"/>
      </c>
      <c r="K194" s="20">
        <f t="shared" si="93"/>
      </c>
      <c r="L194" s="21">
        <f t="shared" si="94"/>
      </c>
      <c r="M194" s="108" t="str">
        <f>'Goals, Inventory, Budget'!C194</f>
        <v>Onions, Chopped Dry </v>
      </c>
      <c r="N194" s="11" t="str">
        <f>'Goals, Inventory, Budget'!F194</f>
        <v>lbs</v>
      </c>
      <c r="O194" s="60">
        <f>'Goals, Inventory, Budget'!G194</f>
      </c>
      <c r="P194" s="227">
        <f t="shared" si="95"/>
        <v>0</v>
      </c>
      <c r="Q194" s="137"/>
      <c r="R194" s="138"/>
      <c r="S194" s="30"/>
      <c r="T194" s="31"/>
      <c r="U194" s="139"/>
      <c r="V194" s="140">
        <f t="shared" si="96"/>
        <v>0</v>
      </c>
      <c r="W194" s="1"/>
      <c r="X194" s="136"/>
      <c r="Y194" s="141"/>
      <c r="Z194" s="132" t="str">
        <f>'Goals, Inventory, Budget'!C194</f>
        <v>Onions, Chopped Dry </v>
      </c>
      <c r="AA194" s="61">
        <f>'Goals, Inventory, Budget'!G194</f>
      </c>
      <c r="AB194" s="11" t="str">
        <f>'Goals, Inventory, Budget'!F194</f>
        <v>lbs</v>
      </c>
      <c r="AC194" s="74">
        <v>1.97</v>
      </c>
      <c r="AD194" s="40">
        <f>'Goals, Inventory, Budget'!I194</f>
      </c>
      <c r="AE194" s="19">
        <f>'Goals, Inventory, Budget'!J194</f>
      </c>
      <c r="AF194" s="20">
        <f>'Goals, Inventory, Budget'!K194</f>
      </c>
      <c r="AG194" s="146">
        <f t="shared" si="97"/>
      </c>
      <c r="AH194" s="147">
        <f t="shared" si="98"/>
      </c>
      <c r="AI194" s="147">
        <f t="shared" si="99"/>
      </c>
      <c r="AJ194" s="236">
        <f t="shared" si="100"/>
      </c>
      <c r="AK194" s="297"/>
    </row>
    <row r="195" spans="2:37" ht="12.75">
      <c r="B195" s="555"/>
      <c r="C195" s="9" t="s">
        <v>84</v>
      </c>
      <c r="D195" s="98" t="s">
        <v>177</v>
      </c>
      <c r="E195" s="1"/>
      <c r="F195" s="504" t="s">
        <v>23</v>
      </c>
      <c r="G195" s="61">
        <f t="shared" si="101"/>
      </c>
      <c r="H195" s="37">
        <f t="shared" si="90"/>
      </c>
      <c r="I195" s="40">
        <f t="shared" si="91"/>
      </c>
      <c r="J195" s="19">
        <f t="shared" si="92"/>
      </c>
      <c r="K195" s="20">
        <f t="shared" si="93"/>
      </c>
      <c r="L195" s="21">
        <f t="shared" si="94"/>
      </c>
      <c r="M195" s="108" t="str">
        <f>'Goals, Inventory, Budget'!C195</f>
        <v>Potato Pearls</v>
      </c>
      <c r="N195" s="11" t="str">
        <f>'Goals, Inventory, Budget'!F195</f>
        <v>lbs</v>
      </c>
      <c r="O195" s="60">
        <f>'Goals, Inventory, Budget'!G195</f>
      </c>
      <c r="P195" s="227">
        <f t="shared" si="95"/>
        <v>0</v>
      </c>
      <c r="Q195" s="137"/>
      <c r="R195" s="138"/>
      <c r="S195" s="30"/>
      <c r="T195" s="31"/>
      <c r="U195" s="139"/>
      <c r="V195" s="140">
        <f t="shared" si="96"/>
        <v>0</v>
      </c>
      <c r="W195" s="1"/>
      <c r="X195" s="136"/>
      <c r="Y195" s="141"/>
      <c r="Z195" s="132" t="str">
        <f>'Goals, Inventory, Budget'!C195</f>
        <v>Potato Pearls</v>
      </c>
      <c r="AA195" s="61">
        <f>'Goals, Inventory, Budget'!G195</f>
      </c>
      <c r="AB195" s="11" t="str">
        <f>'Goals, Inventory, Budget'!F195</f>
        <v>lbs</v>
      </c>
      <c r="AC195" s="74">
        <v>1.25</v>
      </c>
      <c r="AD195" s="40">
        <f>'Goals, Inventory, Budget'!I195</f>
      </c>
      <c r="AE195" s="19">
        <f>'Goals, Inventory, Budget'!J195</f>
      </c>
      <c r="AF195" s="20">
        <f>'Goals, Inventory, Budget'!K195</f>
      </c>
      <c r="AG195" s="146">
        <f t="shared" si="97"/>
      </c>
      <c r="AH195" s="147">
        <f t="shared" si="98"/>
      </c>
      <c r="AI195" s="147">
        <f t="shared" si="99"/>
      </c>
      <c r="AJ195" s="236">
        <f t="shared" si="100"/>
      </c>
      <c r="AK195" s="297"/>
    </row>
    <row r="196" spans="2:37" ht="12.75">
      <c r="B196" s="555"/>
      <c r="C196" s="9" t="s">
        <v>88</v>
      </c>
      <c r="D196" s="98" t="s">
        <v>24</v>
      </c>
      <c r="E196" s="1">
        <v>2</v>
      </c>
      <c r="F196" s="504" t="s">
        <v>23</v>
      </c>
      <c r="G196" s="61">
        <f t="shared" si="101"/>
        <v>2</v>
      </c>
      <c r="H196" s="37">
        <f t="shared" si="90"/>
      </c>
      <c r="I196" s="40">
        <f t="shared" si="91"/>
        <v>2</v>
      </c>
      <c r="J196" s="19">
        <f t="shared" si="92"/>
        <v>1</v>
      </c>
      <c r="K196" s="20">
        <f t="shared" si="93"/>
        <v>0.5</v>
      </c>
      <c r="L196" s="21">
        <f t="shared" si="94"/>
      </c>
      <c r="M196" s="108" t="str">
        <f>'Goals, Inventory, Budget'!C196</f>
        <v>Pudding, Chocolate</v>
      </c>
      <c r="N196" s="11" t="str">
        <f>'Goals, Inventory, Budget'!F196</f>
        <v>lbs</v>
      </c>
      <c r="O196" s="60">
        <f>'Goals, Inventory, Budget'!G196</f>
        <v>2</v>
      </c>
      <c r="P196" s="227">
        <f t="shared" si="95"/>
        <v>0</v>
      </c>
      <c r="Q196" s="137"/>
      <c r="R196" s="138"/>
      <c r="S196" s="30"/>
      <c r="T196" s="31"/>
      <c r="U196" s="139"/>
      <c r="V196" s="140">
        <f t="shared" si="96"/>
        <v>0</v>
      </c>
      <c r="W196" s="1"/>
      <c r="X196" s="136"/>
      <c r="Y196" s="141"/>
      <c r="Z196" s="132" t="str">
        <f>'Goals, Inventory, Budget'!C196</f>
        <v>Pudding, Chocolate</v>
      </c>
      <c r="AA196" s="61">
        <f>'Goals, Inventory, Budget'!G196</f>
        <v>2</v>
      </c>
      <c r="AB196" s="11" t="str">
        <f>'Goals, Inventory, Budget'!F196</f>
        <v>lbs</v>
      </c>
      <c r="AC196" s="74">
        <v>1.36</v>
      </c>
      <c r="AD196" s="40">
        <f>'Goals, Inventory, Budget'!I196</f>
        <v>2</v>
      </c>
      <c r="AE196" s="19">
        <f>'Goals, Inventory, Budget'!J196</f>
        <v>1</v>
      </c>
      <c r="AF196" s="20">
        <f>'Goals, Inventory, Budget'!K196</f>
        <v>0.5</v>
      </c>
      <c r="AG196" s="146">
        <f t="shared" si="97"/>
        <v>2.72</v>
      </c>
      <c r="AH196" s="147">
        <f t="shared" si="98"/>
        <v>1.36</v>
      </c>
      <c r="AI196" s="147">
        <f t="shared" si="99"/>
        <v>0.68</v>
      </c>
      <c r="AJ196" s="236">
        <f t="shared" si="100"/>
        <v>0.22666666666666668</v>
      </c>
      <c r="AK196" s="297"/>
    </row>
    <row r="197" spans="2:37" ht="12.75">
      <c r="B197" s="555"/>
      <c r="C197" s="9" t="s">
        <v>86</v>
      </c>
      <c r="D197" s="98" t="s">
        <v>24</v>
      </c>
      <c r="E197" s="1"/>
      <c r="F197" s="504" t="s">
        <v>23</v>
      </c>
      <c r="G197" s="61">
        <f t="shared" si="101"/>
      </c>
      <c r="H197" s="37">
        <f t="shared" si="90"/>
      </c>
      <c r="I197" s="40">
        <f t="shared" si="91"/>
      </c>
      <c r="J197" s="19">
        <f t="shared" si="92"/>
      </c>
      <c r="K197" s="20">
        <f t="shared" si="93"/>
      </c>
      <c r="L197" s="21">
        <f t="shared" si="94"/>
      </c>
      <c r="M197" s="108" t="str">
        <f>'Goals, Inventory, Budget'!C197</f>
        <v>Pudding, Vanilla</v>
      </c>
      <c r="N197" s="11" t="str">
        <f>'Goals, Inventory, Budget'!F197</f>
        <v>lbs</v>
      </c>
      <c r="O197" s="60">
        <f>'Goals, Inventory, Budget'!G197</f>
      </c>
      <c r="P197" s="227">
        <f t="shared" si="95"/>
        <v>0</v>
      </c>
      <c r="Q197" s="137"/>
      <c r="R197" s="138"/>
      <c r="S197" s="30"/>
      <c r="T197" s="31"/>
      <c r="U197" s="139"/>
      <c r="V197" s="140">
        <f t="shared" si="96"/>
        <v>0</v>
      </c>
      <c r="W197" s="1"/>
      <c r="X197" s="136"/>
      <c r="Y197" s="141"/>
      <c r="Z197" s="132" t="str">
        <f>'Goals, Inventory, Budget'!C197</f>
        <v>Pudding, Vanilla</v>
      </c>
      <c r="AA197" s="61">
        <f>'Goals, Inventory, Budget'!G197</f>
      </c>
      <c r="AB197" s="11" t="str">
        <f>'Goals, Inventory, Budget'!F197</f>
        <v>lbs</v>
      </c>
      <c r="AC197" s="74">
        <v>1.36</v>
      </c>
      <c r="AD197" s="40">
        <f>'Goals, Inventory, Budget'!I197</f>
      </c>
      <c r="AE197" s="19">
        <f>'Goals, Inventory, Budget'!J197</f>
      </c>
      <c r="AF197" s="20">
        <f>'Goals, Inventory, Budget'!K197</f>
      </c>
      <c r="AG197" s="146">
        <f t="shared" si="97"/>
      </c>
      <c r="AH197" s="147">
        <f t="shared" si="98"/>
      </c>
      <c r="AI197" s="147">
        <f t="shared" si="99"/>
      </c>
      <c r="AJ197" s="236">
        <f t="shared" si="100"/>
      </c>
      <c r="AK197" s="297"/>
    </row>
    <row r="198" spans="2:37" ht="12.75">
      <c r="B198" s="555"/>
      <c r="C198" s="9" t="s">
        <v>141</v>
      </c>
      <c r="D198" s="98"/>
      <c r="E198" s="1"/>
      <c r="F198" s="504" t="s">
        <v>23</v>
      </c>
      <c r="G198" s="61">
        <f t="shared" si="101"/>
      </c>
      <c r="H198" s="37">
        <f t="shared" si="90"/>
      </c>
      <c r="I198" s="40">
        <f t="shared" si="91"/>
      </c>
      <c r="J198" s="19">
        <f t="shared" si="92"/>
      </c>
      <c r="K198" s="20">
        <f t="shared" si="93"/>
      </c>
      <c r="L198" s="21">
        <f t="shared" si="94"/>
      </c>
      <c r="M198" s="108" t="str">
        <f>'Goals, Inventory, Budget'!C198</f>
        <v>your selection</v>
      </c>
      <c r="N198" s="11" t="str">
        <f>'Goals, Inventory, Budget'!F198</f>
        <v>lbs</v>
      </c>
      <c r="O198" s="60">
        <f>'Goals, Inventory, Budget'!G198</f>
      </c>
      <c r="P198" s="227">
        <f t="shared" si="95"/>
        <v>0</v>
      </c>
      <c r="Q198" s="137"/>
      <c r="R198" s="138"/>
      <c r="S198" s="30"/>
      <c r="T198" s="31"/>
      <c r="U198" s="139"/>
      <c r="V198" s="140">
        <f t="shared" si="96"/>
        <v>0</v>
      </c>
      <c r="W198" s="1"/>
      <c r="X198" s="136"/>
      <c r="Y198" s="141"/>
      <c r="Z198" s="691" t="str">
        <f>'Goals, Inventory, Budget'!C198</f>
        <v>your selection</v>
      </c>
      <c r="AA198" s="61">
        <f>'Goals, Inventory, Budget'!G198</f>
      </c>
      <c r="AB198" s="11" t="str">
        <f>'Goals, Inventory, Budget'!F198</f>
        <v>lbs</v>
      </c>
      <c r="AC198" s="74"/>
      <c r="AD198" s="40">
        <f>'Goals, Inventory, Budget'!I198</f>
      </c>
      <c r="AE198" s="19">
        <f>'Goals, Inventory, Budget'!J198</f>
      </c>
      <c r="AF198" s="20">
        <f>'Goals, Inventory, Budget'!K198</f>
      </c>
      <c r="AG198" s="146">
        <f t="shared" si="97"/>
      </c>
      <c r="AH198" s="147">
        <f t="shared" si="98"/>
      </c>
      <c r="AI198" s="147">
        <f t="shared" si="99"/>
      </c>
      <c r="AJ198" s="236">
        <f t="shared" si="100"/>
      </c>
      <c r="AK198" s="297"/>
    </row>
    <row r="199" spans="2:37" ht="12.75">
      <c r="B199" s="555"/>
      <c r="C199" s="9" t="s">
        <v>141</v>
      </c>
      <c r="D199" s="98"/>
      <c r="E199" s="1"/>
      <c r="F199" s="504" t="s">
        <v>23</v>
      </c>
      <c r="G199" s="61">
        <f t="shared" si="101"/>
      </c>
      <c r="H199" s="37">
        <f t="shared" si="90"/>
      </c>
      <c r="I199" s="40">
        <f t="shared" si="91"/>
      </c>
      <c r="J199" s="19">
        <f t="shared" si="92"/>
      </c>
      <c r="K199" s="20">
        <f t="shared" si="93"/>
      </c>
      <c r="L199" s="21">
        <f t="shared" si="94"/>
      </c>
      <c r="M199" s="108" t="str">
        <f>'Goals, Inventory, Budget'!C199</f>
        <v>your selection</v>
      </c>
      <c r="N199" s="11" t="str">
        <f>'Goals, Inventory, Budget'!F199</f>
        <v>lbs</v>
      </c>
      <c r="O199" s="60">
        <f>'Goals, Inventory, Budget'!G199</f>
      </c>
      <c r="P199" s="227">
        <f t="shared" si="95"/>
        <v>0</v>
      </c>
      <c r="Q199" s="137"/>
      <c r="R199" s="138"/>
      <c r="S199" s="30"/>
      <c r="T199" s="31"/>
      <c r="U199" s="139"/>
      <c r="V199" s="140">
        <f t="shared" si="96"/>
        <v>0</v>
      </c>
      <c r="W199" s="1"/>
      <c r="X199" s="136"/>
      <c r="Y199" s="141"/>
      <c r="Z199" s="691" t="str">
        <f>'Goals, Inventory, Budget'!C199</f>
        <v>your selection</v>
      </c>
      <c r="AA199" s="61">
        <f>'Goals, Inventory, Budget'!G199</f>
      </c>
      <c r="AB199" s="11" t="str">
        <f>'Goals, Inventory, Budget'!F199</f>
        <v>lbs</v>
      </c>
      <c r="AC199" s="74"/>
      <c r="AD199" s="40">
        <f>'Goals, Inventory, Budget'!I199</f>
      </c>
      <c r="AE199" s="19">
        <f>'Goals, Inventory, Budget'!J199</f>
      </c>
      <c r="AF199" s="20">
        <f>'Goals, Inventory, Budget'!K199</f>
      </c>
      <c r="AG199" s="146">
        <f t="shared" si="97"/>
      </c>
      <c r="AH199" s="147">
        <f t="shared" si="98"/>
      </c>
      <c r="AI199" s="147">
        <f t="shared" si="99"/>
      </c>
      <c r="AJ199" s="236">
        <f t="shared" si="100"/>
      </c>
      <c r="AK199" s="297"/>
    </row>
    <row r="200" spans="2:37" ht="12.75">
      <c r="B200" s="555"/>
      <c r="C200" s="9" t="s">
        <v>141</v>
      </c>
      <c r="D200" s="98"/>
      <c r="E200" s="1"/>
      <c r="F200" s="504" t="s">
        <v>23</v>
      </c>
      <c r="G200" s="61">
        <f t="shared" si="101"/>
      </c>
      <c r="H200" s="37">
        <f t="shared" si="90"/>
      </c>
      <c r="I200" s="40">
        <f t="shared" si="91"/>
      </c>
      <c r="J200" s="19">
        <f t="shared" si="92"/>
      </c>
      <c r="K200" s="20">
        <f t="shared" si="93"/>
      </c>
      <c r="L200" s="21">
        <f t="shared" si="94"/>
      </c>
      <c r="M200" s="108" t="str">
        <f>'Goals, Inventory, Budget'!C200</f>
        <v>your selection</v>
      </c>
      <c r="N200" s="11" t="str">
        <f>'Goals, Inventory, Budget'!F200</f>
        <v>lbs</v>
      </c>
      <c r="O200" s="60">
        <f>'Goals, Inventory, Budget'!G200</f>
      </c>
      <c r="P200" s="227">
        <f t="shared" si="95"/>
        <v>0</v>
      </c>
      <c r="Q200" s="137"/>
      <c r="R200" s="138"/>
      <c r="S200" s="30"/>
      <c r="T200" s="31"/>
      <c r="U200" s="139"/>
      <c r="V200" s="140">
        <f t="shared" si="96"/>
        <v>0</v>
      </c>
      <c r="W200" s="1"/>
      <c r="X200" s="136"/>
      <c r="Y200" s="141"/>
      <c r="Z200" s="691" t="str">
        <f>'Goals, Inventory, Budget'!C200</f>
        <v>your selection</v>
      </c>
      <c r="AA200" s="61">
        <f>'Goals, Inventory, Budget'!G200</f>
      </c>
      <c r="AB200" s="11" t="str">
        <f>'Goals, Inventory, Budget'!F200</f>
        <v>lbs</v>
      </c>
      <c r="AC200" s="74"/>
      <c r="AD200" s="40">
        <f>'Goals, Inventory, Budget'!I200</f>
      </c>
      <c r="AE200" s="19">
        <f>'Goals, Inventory, Budget'!J200</f>
      </c>
      <c r="AF200" s="20">
        <f>'Goals, Inventory, Budget'!K200</f>
      </c>
      <c r="AG200" s="146">
        <f t="shared" si="97"/>
      </c>
      <c r="AH200" s="147">
        <f t="shared" si="98"/>
      </c>
      <c r="AI200" s="147">
        <f t="shared" si="99"/>
      </c>
      <c r="AJ200" s="236">
        <f t="shared" si="100"/>
      </c>
      <c r="AK200" s="297"/>
    </row>
    <row r="201" spans="2:37" ht="13.5" thickBot="1">
      <c r="B201" s="555"/>
      <c r="C201" s="9" t="s">
        <v>141</v>
      </c>
      <c r="D201" s="98"/>
      <c r="E201" s="1"/>
      <c r="F201" s="504" t="s">
        <v>23</v>
      </c>
      <c r="G201" s="61">
        <f t="shared" si="101"/>
      </c>
      <c r="H201" s="37">
        <f t="shared" si="90"/>
      </c>
      <c r="I201" s="73">
        <f t="shared" si="91"/>
      </c>
      <c r="J201" s="56">
        <f t="shared" si="92"/>
      </c>
      <c r="K201" s="57">
        <f t="shared" si="93"/>
      </c>
      <c r="L201" s="21">
        <f t="shared" si="94"/>
      </c>
      <c r="M201" s="108" t="str">
        <f>'Goals, Inventory, Budget'!C201</f>
        <v>your selection</v>
      </c>
      <c r="N201" s="11" t="str">
        <f>'Goals, Inventory, Budget'!F201</f>
        <v>lbs</v>
      </c>
      <c r="O201" s="60">
        <f>'Goals, Inventory, Budget'!G201</f>
      </c>
      <c r="P201" s="227">
        <f t="shared" si="95"/>
        <v>0</v>
      </c>
      <c r="Q201" s="137"/>
      <c r="R201" s="138"/>
      <c r="S201" s="30"/>
      <c r="T201" s="31"/>
      <c r="U201" s="139"/>
      <c r="V201" s="140">
        <f t="shared" si="96"/>
        <v>0</v>
      </c>
      <c r="W201" s="1"/>
      <c r="X201" s="136"/>
      <c r="Y201" s="141"/>
      <c r="Z201" s="691" t="str">
        <f>'Goals, Inventory, Budget'!C201</f>
        <v>your selection</v>
      </c>
      <c r="AA201" s="61">
        <f>'Goals, Inventory, Budget'!G201</f>
      </c>
      <c r="AB201" s="11" t="str">
        <f>'Goals, Inventory, Budget'!F201</f>
        <v>lbs</v>
      </c>
      <c r="AC201" s="74"/>
      <c r="AD201" s="73">
        <f>'Goals, Inventory, Budget'!I201</f>
      </c>
      <c r="AE201" s="56">
        <f>'Goals, Inventory, Budget'!J201</f>
      </c>
      <c r="AF201" s="57">
        <f>'Goals, Inventory, Budget'!K201</f>
      </c>
      <c r="AG201" s="148">
        <f t="shared" si="97"/>
      </c>
      <c r="AH201" s="149">
        <f t="shared" si="98"/>
      </c>
      <c r="AI201" s="149">
        <f t="shared" si="99"/>
      </c>
      <c r="AJ201" s="250">
        <f t="shared" si="100"/>
      </c>
      <c r="AK201" s="296"/>
    </row>
    <row r="202" spans="2:37" ht="13.5" thickTop="1">
      <c r="B202" s="555"/>
      <c r="C202" s="517" t="s">
        <v>200</v>
      </c>
      <c r="D202" s="664"/>
      <c r="E202" s="122">
        <f>SUM(E192:E201)</f>
        <v>2</v>
      </c>
      <c r="F202" s="122" t="s">
        <v>23</v>
      </c>
      <c r="G202" s="59">
        <f>FamilyFactor*E202</f>
        <v>2</v>
      </c>
      <c r="H202" s="224">
        <f>P202</f>
        <v>0</v>
      </c>
      <c r="I202" s="41">
        <f>IF(G202="","",IF(H202="",G202-0,IF(G202&lt;H202,0,G202-H202)))</f>
        <v>2</v>
      </c>
      <c r="J202" s="52">
        <f>IF((G202/2-H202)&lt;=0,0,G202/2-H202)</f>
        <v>1</v>
      </c>
      <c r="K202" s="53">
        <f>IF((G202/4-H202)&lt;=0,0,G202/4-H202)</f>
        <v>0.5</v>
      </c>
      <c r="L202" s="27"/>
      <c r="M202" s="177" t="str">
        <f>'Goals, Inventory, Budget'!C202</f>
        <v>Total Church Offered Items</v>
      </c>
      <c r="N202" s="126" t="str">
        <f>'Goals, Inventory, Budget'!F202</f>
        <v>lbs</v>
      </c>
      <c r="O202" s="59">
        <f>'Goals, Inventory, Budget'!G202</f>
        <v>2</v>
      </c>
      <c r="P202" s="224">
        <f>SUM(P192:P201)</f>
        <v>0</v>
      </c>
      <c r="Q202" s="591"/>
      <c r="R202" s="592"/>
      <c r="S202" s="593"/>
      <c r="T202" s="592"/>
      <c r="U202" s="593"/>
      <c r="V202" s="592"/>
      <c r="W202" s="594"/>
      <c r="X202" s="592"/>
      <c r="Y202" s="595"/>
      <c r="Z202" s="665" t="str">
        <f>'Goals, Inventory, Budget'!C202</f>
        <v>Total Church Offered Items</v>
      </c>
      <c r="AA202" s="59">
        <f>'Goals, Inventory, Budget'!G202</f>
        <v>2</v>
      </c>
      <c r="AB202" s="126" t="str">
        <f>'Goals, Inventory, Budget'!F202</f>
        <v>lbs</v>
      </c>
      <c r="AC202" s="84"/>
      <c r="AD202" s="41">
        <f>'Goals, Inventory, Budget'!I202</f>
        <v>2</v>
      </c>
      <c r="AE202" s="52">
        <f>'Goals, Inventory, Budget'!J202</f>
        <v>1</v>
      </c>
      <c r="AF202" s="53">
        <f>'Goals, Inventory, Budget'!K202</f>
        <v>0.5</v>
      </c>
      <c r="AG202" s="144">
        <f>SUM(AG192:AG201)</f>
        <v>2.72</v>
      </c>
      <c r="AH202" s="145">
        <f>SUM(AH192:AH201)</f>
        <v>1.36</v>
      </c>
      <c r="AI202" s="233">
        <f>SUM(AI192:AI201)</f>
        <v>0.68</v>
      </c>
      <c r="AJ202" s="249">
        <f>SUM(AJ192:AJ201)</f>
        <v>0.22666666666666668</v>
      </c>
      <c r="AK202" s="654"/>
    </row>
    <row r="203" spans="2:37" ht="12.75">
      <c r="B203" s="555"/>
      <c r="C203" s="498" t="s">
        <v>165</v>
      </c>
      <c r="D203" s="572"/>
      <c r="E203" s="572"/>
      <c r="F203" s="572"/>
      <c r="G203" s="572"/>
      <c r="H203" s="572"/>
      <c r="I203" s="572"/>
      <c r="J203" s="572"/>
      <c r="K203" s="617"/>
      <c r="L203" s="97"/>
      <c r="M203" s="302" t="str">
        <f>'Goals, Inventory, Budget'!C203</f>
        <v>Miscellaneous Items</v>
      </c>
      <c r="N203" s="303">
        <f>'Goals, Inventory, Budget'!F203</f>
        <v>0</v>
      </c>
      <c r="O203" s="303">
        <f>'Goals, Inventory, Budget'!G203</f>
        <v>0</v>
      </c>
      <c r="P203" s="303">
        <f>'Goals, Inventory, Budget'!H203</f>
        <v>0</v>
      </c>
      <c r="Q203" s="303">
        <f>'Goals, Inventory, Budget'!I203</f>
        <v>0</v>
      </c>
      <c r="R203" s="303">
        <f>'Goals, Inventory, Budget'!J203</f>
        <v>0</v>
      </c>
      <c r="S203" s="303">
        <f>'Goals, Inventory, Budget'!K203</f>
        <v>0</v>
      </c>
      <c r="T203" s="114"/>
      <c r="U203" s="113"/>
      <c r="V203" s="114"/>
      <c r="W203" s="115"/>
      <c r="X203" s="114"/>
      <c r="Y203" s="121"/>
      <c r="Z203" s="686" t="str">
        <f>'Goals, Inventory, Budget'!C203</f>
        <v>Miscellaneous Items</v>
      </c>
      <c r="AA203" s="689"/>
      <c r="AB203" s="689"/>
      <c r="AC203" s="689"/>
      <c r="AD203" s="606"/>
      <c r="AE203" s="606"/>
      <c r="AF203" s="600"/>
      <c r="AG203" s="601"/>
      <c r="AH203" s="601"/>
      <c r="AI203" s="601"/>
      <c r="AJ203" s="607"/>
      <c r="AK203" s="603"/>
    </row>
    <row r="204" spans="2:37" ht="12.75">
      <c r="B204" s="555"/>
      <c r="C204" s="9" t="s">
        <v>141</v>
      </c>
      <c r="D204" s="101"/>
      <c r="E204" s="3"/>
      <c r="F204" s="610" t="s">
        <v>23</v>
      </c>
      <c r="G204" s="61">
        <f aca="true" t="shared" si="102" ref="G204:G209">IF(E204=0,"",FamilyFactor*E204)</f>
      </c>
      <c r="H204" s="266">
        <f aca="true" t="shared" si="103" ref="H204:H209">IF(P204=0,"",P204)</f>
      </c>
      <c r="I204" s="40">
        <f aca="true" t="shared" si="104" ref="I204:I209">IF(G204="","",IF(H204="",G204-0,G204-H204))</f>
      </c>
      <c r="J204" s="19">
        <f aca="true" t="shared" si="105" ref="J204:J209">IF(G204="","",IF(H204="",G204/2-0,IF((G204/2-H204)&lt;=0,0,G204/2-H204)))</f>
      </c>
      <c r="K204" s="20">
        <f aca="true" t="shared" si="106" ref="K204:K209">IF(G204="","",IF(H204="",G204/4-0,IF((G204/4-H204)&lt;=0,0,G204/4-H204)))</f>
      </c>
      <c r="L204" s="21">
        <f aca="true" t="shared" si="107" ref="L204:L209">IF(H204="","",IF(D204="indefinite",0,IF(D204="varies","varies",H204/D204)))</f>
      </c>
      <c r="M204" s="108" t="str">
        <f>'Goals, Inventory, Budget'!C204</f>
        <v>your selection</v>
      </c>
      <c r="N204" s="11" t="str">
        <f>'Goals, Inventory, Budget'!F204</f>
        <v>lbs</v>
      </c>
      <c r="O204" s="60">
        <f>'Goals, Inventory, Budget'!G204</f>
      </c>
      <c r="P204" s="227">
        <f aca="true" t="shared" si="108" ref="P204:P209">Q204*R204+S204*T204+U204*V204+X204*Y204</f>
        <v>0</v>
      </c>
      <c r="Q204" s="137"/>
      <c r="R204" s="138"/>
      <c r="S204" s="30"/>
      <c r="T204" s="31"/>
      <c r="U204" s="139"/>
      <c r="V204" s="140">
        <f aca="true" t="shared" si="109" ref="V204:V209">IF(R204=0,0,R204*5/0.75)</f>
        <v>0</v>
      </c>
      <c r="W204" s="1"/>
      <c r="X204" s="136"/>
      <c r="Y204" s="141"/>
      <c r="Z204" s="691" t="str">
        <f>'Goals, Inventory, Budget'!C204</f>
        <v>your selection</v>
      </c>
      <c r="AA204" s="61">
        <f>'Goals, Inventory, Budget'!G204</f>
      </c>
      <c r="AB204" s="23" t="str">
        <f>'Goals, Inventory, Budget'!F204</f>
        <v>lbs</v>
      </c>
      <c r="AC204" s="82"/>
      <c r="AD204" s="40">
        <f>'Goals, Inventory, Budget'!I204</f>
      </c>
      <c r="AE204" s="19">
        <f>'Goals, Inventory, Budget'!J204</f>
      </c>
      <c r="AF204" s="20">
        <f>'Goals, Inventory, Budget'!K204</f>
      </c>
      <c r="AG204" s="146">
        <f aca="true" t="shared" si="110" ref="AG204:AG209">IF(AA204="","",IF(AC204=0,"price?",AD204*AC204))</f>
      </c>
      <c r="AH204" s="147">
        <f aca="true" t="shared" si="111" ref="AH204:AH209">IF(AA204="","",IF(AC204=0,"price?",AE204*AC204))</f>
      </c>
      <c r="AI204" s="147">
        <f aca="true" t="shared" si="112" ref="AI204:AI209">IF(AA204="","",IF(AC204=0,"price?",AF204*AC204))</f>
      </c>
      <c r="AJ204" s="236">
        <f aca="true" t="shared" si="113" ref="AJ204:AJ209">IF(AA204="","",IF(AC204=0,"price?",IF(AD204=0,0,AA204*AC204/12)))</f>
      </c>
      <c r="AK204" s="297"/>
    </row>
    <row r="205" spans="2:37" ht="12.75">
      <c r="B205" s="555"/>
      <c r="C205" s="9" t="s">
        <v>141</v>
      </c>
      <c r="D205" s="101"/>
      <c r="E205" s="3"/>
      <c r="F205" s="610" t="s">
        <v>23</v>
      </c>
      <c r="G205" s="61">
        <f t="shared" si="102"/>
      </c>
      <c r="H205" s="266">
        <f t="shared" si="103"/>
      </c>
      <c r="I205" s="40">
        <f t="shared" si="104"/>
      </c>
      <c r="J205" s="19">
        <f t="shared" si="105"/>
      </c>
      <c r="K205" s="20">
        <f t="shared" si="106"/>
      </c>
      <c r="L205" s="21">
        <f t="shared" si="107"/>
      </c>
      <c r="M205" s="108" t="str">
        <f>'Goals, Inventory, Budget'!C205</f>
        <v>your selection</v>
      </c>
      <c r="N205" s="11" t="str">
        <f>'Goals, Inventory, Budget'!F205</f>
        <v>lbs</v>
      </c>
      <c r="O205" s="60">
        <f>'Goals, Inventory, Budget'!G205</f>
      </c>
      <c r="P205" s="227">
        <f t="shared" si="108"/>
        <v>0</v>
      </c>
      <c r="Q205" s="137"/>
      <c r="R205" s="138"/>
      <c r="S205" s="30"/>
      <c r="T205" s="31"/>
      <c r="U205" s="139"/>
      <c r="V205" s="140">
        <f t="shared" si="109"/>
        <v>0</v>
      </c>
      <c r="W205" s="1"/>
      <c r="X205" s="136"/>
      <c r="Y205" s="141"/>
      <c r="Z205" s="691" t="str">
        <f>'Goals, Inventory, Budget'!C205</f>
        <v>your selection</v>
      </c>
      <c r="AA205" s="61">
        <f>'Goals, Inventory, Budget'!G205</f>
      </c>
      <c r="AB205" s="23" t="str">
        <f>'Goals, Inventory, Budget'!F205</f>
        <v>lbs</v>
      </c>
      <c r="AC205" s="82"/>
      <c r="AD205" s="40">
        <f>'Goals, Inventory, Budget'!I205</f>
      </c>
      <c r="AE205" s="19">
        <f>'Goals, Inventory, Budget'!J205</f>
      </c>
      <c r="AF205" s="20">
        <f>'Goals, Inventory, Budget'!K205</f>
      </c>
      <c r="AG205" s="146">
        <f t="shared" si="110"/>
      </c>
      <c r="AH205" s="147">
        <f t="shared" si="111"/>
      </c>
      <c r="AI205" s="147">
        <f t="shared" si="112"/>
      </c>
      <c r="AJ205" s="236">
        <f t="shared" si="113"/>
      </c>
      <c r="AK205" s="297"/>
    </row>
    <row r="206" spans="2:37" ht="12.75">
      <c r="B206" s="555"/>
      <c r="C206" s="9" t="s">
        <v>141</v>
      </c>
      <c r="D206" s="101"/>
      <c r="E206" s="3"/>
      <c r="F206" s="610" t="s">
        <v>23</v>
      </c>
      <c r="G206" s="61">
        <f t="shared" si="102"/>
      </c>
      <c r="H206" s="266">
        <f t="shared" si="103"/>
      </c>
      <c r="I206" s="40">
        <f t="shared" si="104"/>
      </c>
      <c r="J206" s="19">
        <f t="shared" si="105"/>
      </c>
      <c r="K206" s="20">
        <f t="shared" si="106"/>
      </c>
      <c r="L206" s="21">
        <f t="shared" si="107"/>
      </c>
      <c r="M206" s="108" t="str">
        <f>'Goals, Inventory, Budget'!C206</f>
        <v>your selection</v>
      </c>
      <c r="N206" s="11" t="str">
        <f>'Goals, Inventory, Budget'!F206</f>
        <v>lbs</v>
      </c>
      <c r="O206" s="60">
        <f>'Goals, Inventory, Budget'!G206</f>
      </c>
      <c r="P206" s="227">
        <f t="shared" si="108"/>
        <v>0</v>
      </c>
      <c r="Q206" s="137"/>
      <c r="R206" s="138"/>
      <c r="S206" s="30"/>
      <c r="T206" s="31"/>
      <c r="U206" s="139"/>
      <c r="V206" s="140">
        <f t="shared" si="109"/>
        <v>0</v>
      </c>
      <c r="W206" s="1"/>
      <c r="X206" s="136"/>
      <c r="Y206" s="141"/>
      <c r="Z206" s="691" t="str">
        <f>'Goals, Inventory, Budget'!C206</f>
        <v>your selection</v>
      </c>
      <c r="AA206" s="61">
        <f>'Goals, Inventory, Budget'!G206</f>
      </c>
      <c r="AB206" s="23" t="str">
        <f>'Goals, Inventory, Budget'!F206</f>
        <v>lbs</v>
      </c>
      <c r="AC206" s="82"/>
      <c r="AD206" s="40">
        <f>'Goals, Inventory, Budget'!I206</f>
      </c>
      <c r="AE206" s="19">
        <f>'Goals, Inventory, Budget'!J206</f>
      </c>
      <c r="AF206" s="20">
        <f>'Goals, Inventory, Budget'!K206</f>
      </c>
      <c r="AG206" s="146">
        <f t="shared" si="110"/>
      </c>
      <c r="AH206" s="147">
        <f t="shared" si="111"/>
      </c>
      <c r="AI206" s="147">
        <f t="shared" si="112"/>
      </c>
      <c r="AJ206" s="236">
        <f t="shared" si="113"/>
      </c>
      <c r="AK206" s="297"/>
    </row>
    <row r="207" spans="2:37" ht="12.75">
      <c r="B207" s="555"/>
      <c r="C207" s="9" t="s">
        <v>141</v>
      </c>
      <c r="D207" s="101"/>
      <c r="E207" s="3"/>
      <c r="F207" s="610" t="s">
        <v>23</v>
      </c>
      <c r="G207" s="61">
        <f t="shared" si="102"/>
      </c>
      <c r="H207" s="266">
        <f t="shared" si="103"/>
      </c>
      <c r="I207" s="40">
        <f t="shared" si="104"/>
      </c>
      <c r="J207" s="19">
        <f t="shared" si="105"/>
      </c>
      <c r="K207" s="20">
        <f t="shared" si="106"/>
      </c>
      <c r="L207" s="21">
        <f t="shared" si="107"/>
      </c>
      <c r="M207" s="108" t="str">
        <f>'Goals, Inventory, Budget'!C207</f>
        <v>your selection</v>
      </c>
      <c r="N207" s="11" t="str">
        <f>'Goals, Inventory, Budget'!F207</f>
        <v>lbs</v>
      </c>
      <c r="O207" s="60">
        <f>'Goals, Inventory, Budget'!G207</f>
      </c>
      <c r="P207" s="227">
        <f t="shared" si="108"/>
        <v>0</v>
      </c>
      <c r="Q207" s="137"/>
      <c r="R207" s="138"/>
      <c r="S207" s="30"/>
      <c r="T207" s="31"/>
      <c r="U207" s="139"/>
      <c r="V207" s="140">
        <f t="shared" si="109"/>
        <v>0</v>
      </c>
      <c r="W207" s="1"/>
      <c r="X207" s="136"/>
      <c r="Y207" s="141"/>
      <c r="Z207" s="691" t="str">
        <f>'Goals, Inventory, Budget'!C207</f>
        <v>your selection</v>
      </c>
      <c r="AA207" s="61">
        <f>'Goals, Inventory, Budget'!G207</f>
      </c>
      <c r="AB207" s="23" t="str">
        <f>'Goals, Inventory, Budget'!F207</f>
        <v>lbs</v>
      </c>
      <c r="AC207" s="82"/>
      <c r="AD207" s="40">
        <f>'Goals, Inventory, Budget'!I207</f>
      </c>
      <c r="AE207" s="19">
        <f>'Goals, Inventory, Budget'!J207</f>
      </c>
      <c r="AF207" s="20">
        <f>'Goals, Inventory, Budget'!K207</f>
      </c>
      <c r="AG207" s="146">
        <f t="shared" si="110"/>
      </c>
      <c r="AH207" s="147">
        <f t="shared" si="111"/>
      </c>
      <c r="AI207" s="147">
        <f t="shared" si="112"/>
      </c>
      <c r="AJ207" s="236">
        <f t="shared" si="113"/>
      </c>
      <c r="AK207" s="297"/>
    </row>
    <row r="208" spans="2:37" ht="12.75">
      <c r="B208" s="555"/>
      <c r="C208" s="9" t="s">
        <v>141</v>
      </c>
      <c r="D208" s="101"/>
      <c r="E208" s="3"/>
      <c r="F208" s="610" t="s">
        <v>23</v>
      </c>
      <c r="G208" s="61">
        <f t="shared" si="102"/>
      </c>
      <c r="H208" s="266">
        <f t="shared" si="103"/>
      </c>
      <c r="I208" s="40">
        <f t="shared" si="104"/>
      </c>
      <c r="J208" s="19">
        <f t="shared" si="105"/>
      </c>
      <c r="K208" s="20">
        <f t="shared" si="106"/>
      </c>
      <c r="L208" s="21">
        <f t="shared" si="107"/>
      </c>
      <c r="M208" s="108" t="str">
        <f>'Goals, Inventory, Budget'!C208</f>
        <v>your selection</v>
      </c>
      <c r="N208" s="11" t="str">
        <f>'Goals, Inventory, Budget'!F208</f>
        <v>lbs</v>
      </c>
      <c r="O208" s="60">
        <f>'Goals, Inventory, Budget'!G208</f>
      </c>
      <c r="P208" s="227">
        <f t="shared" si="108"/>
        <v>0</v>
      </c>
      <c r="Q208" s="137"/>
      <c r="R208" s="138"/>
      <c r="S208" s="30"/>
      <c r="T208" s="31"/>
      <c r="U208" s="139"/>
      <c r="V208" s="140">
        <f t="shared" si="109"/>
        <v>0</v>
      </c>
      <c r="W208" s="1"/>
      <c r="X208" s="136"/>
      <c r="Y208" s="141"/>
      <c r="Z208" s="691" t="str">
        <f>'Goals, Inventory, Budget'!C208</f>
        <v>your selection</v>
      </c>
      <c r="AA208" s="61">
        <f>'Goals, Inventory, Budget'!G208</f>
      </c>
      <c r="AB208" s="23" t="str">
        <f>'Goals, Inventory, Budget'!F208</f>
        <v>lbs</v>
      </c>
      <c r="AC208" s="82"/>
      <c r="AD208" s="40">
        <f>'Goals, Inventory, Budget'!I208</f>
      </c>
      <c r="AE208" s="19">
        <f>'Goals, Inventory, Budget'!J208</f>
      </c>
      <c r="AF208" s="20">
        <f>'Goals, Inventory, Budget'!K208</f>
      </c>
      <c r="AG208" s="146">
        <f t="shared" si="110"/>
      </c>
      <c r="AH208" s="147">
        <f t="shared" si="111"/>
      </c>
      <c r="AI208" s="147">
        <f t="shared" si="112"/>
      </c>
      <c r="AJ208" s="236">
        <f t="shared" si="113"/>
      </c>
      <c r="AK208" s="297"/>
    </row>
    <row r="209" spans="2:37" ht="13.5" thickBot="1">
      <c r="B209" s="555"/>
      <c r="C209" s="9" t="s">
        <v>141</v>
      </c>
      <c r="D209" s="101"/>
      <c r="E209" s="3"/>
      <c r="F209" s="610" t="s">
        <v>23</v>
      </c>
      <c r="G209" s="61">
        <f t="shared" si="102"/>
      </c>
      <c r="H209" s="266">
        <f t="shared" si="103"/>
      </c>
      <c r="I209" s="73">
        <f t="shared" si="104"/>
      </c>
      <c r="J209" s="56">
        <f t="shared" si="105"/>
      </c>
      <c r="K209" s="57">
        <f t="shared" si="106"/>
      </c>
      <c r="L209" s="25">
        <f t="shared" si="107"/>
      </c>
      <c r="M209" s="108" t="str">
        <f>'Goals, Inventory, Budget'!C209</f>
        <v>your selection</v>
      </c>
      <c r="N209" s="11" t="str">
        <f>'Goals, Inventory, Budget'!F209</f>
        <v>lbs</v>
      </c>
      <c r="O209" s="60">
        <f>'Goals, Inventory, Budget'!G209</f>
      </c>
      <c r="P209" s="227">
        <f t="shared" si="108"/>
        <v>0</v>
      </c>
      <c r="Q209" s="137"/>
      <c r="R209" s="138"/>
      <c r="S209" s="30"/>
      <c r="T209" s="31"/>
      <c r="U209" s="139"/>
      <c r="V209" s="140">
        <f t="shared" si="109"/>
        <v>0</v>
      </c>
      <c r="W209" s="1"/>
      <c r="X209" s="136"/>
      <c r="Y209" s="141"/>
      <c r="Z209" s="691" t="str">
        <f>'Goals, Inventory, Budget'!C209</f>
        <v>your selection</v>
      </c>
      <c r="AA209" s="61">
        <f>'Goals, Inventory, Budget'!G209</f>
      </c>
      <c r="AB209" s="23" t="str">
        <f>'Goals, Inventory, Budget'!F209</f>
        <v>lbs</v>
      </c>
      <c r="AC209" s="82"/>
      <c r="AD209" s="73">
        <f>'Goals, Inventory, Budget'!I209</f>
      </c>
      <c r="AE209" s="56">
        <f>'Goals, Inventory, Budget'!J209</f>
      </c>
      <c r="AF209" s="57">
        <f>'Goals, Inventory, Budget'!K209</f>
      </c>
      <c r="AG209" s="148">
        <f t="shared" si="110"/>
      </c>
      <c r="AH209" s="149">
        <f t="shared" si="111"/>
      </c>
      <c r="AI209" s="149">
        <f t="shared" si="112"/>
      </c>
      <c r="AJ209" s="250">
        <f t="shared" si="113"/>
      </c>
      <c r="AK209" s="298"/>
    </row>
    <row r="210" spans="2:36" ht="14.25" thickBot="1" thickTop="1">
      <c r="B210" s="555"/>
      <c r="C210" s="679" t="s">
        <v>201</v>
      </c>
      <c r="D210" s="680"/>
      <c r="E210" s="122">
        <f>SUM(E204:E209)</f>
        <v>0</v>
      </c>
      <c r="F210" s="122" t="s">
        <v>23</v>
      </c>
      <c r="G210" s="59">
        <f>FamilyFactor*E210</f>
        <v>0</v>
      </c>
      <c r="H210" s="224">
        <f>P210</f>
        <v>0</v>
      </c>
      <c r="I210" s="41">
        <f>IF(G210="","",IF(H210="",G210-0,IF(G210&lt;H210,0,G210-H210)))</f>
        <v>0</v>
      </c>
      <c r="J210" s="52">
        <f>IF((G210/2-H210)&lt;=0,0,G210/2-H210)</f>
        <v>0</v>
      </c>
      <c r="K210" s="53">
        <f>IF((G210/4-H210)&lt;=0,0,G210/4-H210)</f>
        <v>0</v>
      </c>
      <c r="M210" s="177" t="str">
        <f>'Goals, Inventory, Budget'!C210</f>
        <v>Total Miscellaneous Items</v>
      </c>
      <c r="N210" s="126" t="str">
        <f>'Goals, Inventory, Budget'!F210</f>
        <v>lbs</v>
      </c>
      <c r="O210" s="59">
        <f>'Goals, Inventory, Budget'!G210</f>
        <v>0</v>
      </c>
      <c r="P210" s="224">
        <f>SUM(P204:P209)</f>
        <v>0</v>
      </c>
      <c r="Q210" s="591"/>
      <c r="R210" s="592"/>
      <c r="S210" s="593"/>
      <c r="T210" s="655"/>
      <c r="U210" s="216"/>
      <c r="V210" s="655"/>
      <c r="W210" s="551"/>
      <c r="X210" s="655"/>
      <c r="Y210" s="656"/>
      <c r="Z210" s="665" t="str">
        <f>'Goals, Inventory, Budget'!C210</f>
        <v>Total Miscellaneous Items</v>
      </c>
      <c r="AA210" s="59">
        <f>'Goals, Inventory, Budget'!G210</f>
        <v>0</v>
      </c>
      <c r="AB210" s="126" t="str">
        <f>'Goals, Inventory, Budget'!F210</f>
        <v>lbs</v>
      </c>
      <c r="AC210" s="84"/>
      <c r="AD210" s="41">
        <f>'Goals, Inventory, Budget'!I210</f>
        <v>0</v>
      </c>
      <c r="AE210" s="86">
        <f>'Goals, Inventory, Budget'!J210</f>
        <v>0</v>
      </c>
      <c r="AF210" s="87">
        <f>'Goals, Inventory, Budget'!K210</f>
        <v>0</v>
      </c>
      <c r="AG210" s="161">
        <f>SUM(AG204:AG209)</f>
        <v>0</v>
      </c>
      <c r="AH210" s="162">
        <f>SUM(AH204:AH209)</f>
        <v>0</v>
      </c>
      <c r="AI210" s="254">
        <f>SUM(AI204:AI209)</f>
        <v>0</v>
      </c>
      <c r="AJ210" s="248">
        <f>SUM(AJ204:AJ209)</f>
        <v>0</v>
      </c>
    </row>
    <row r="211" spans="2:36" ht="64.5" thickBot="1">
      <c r="B211" s="555"/>
      <c r="C211" s="626" t="str">
        <f>C189</f>
        <v>Other Church Offered Food Storage Items and Additional Misc. Items</v>
      </c>
      <c r="D211" s="627"/>
      <c r="E211" s="125" t="s">
        <v>276</v>
      </c>
      <c r="F211" s="125" t="s">
        <v>15</v>
      </c>
      <c r="G211" s="124" t="s">
        <v>190</v>
      </c>
      <c r="H211" s="124" t="s">
        <v>189</v>
      </c>
      <c r="I211" s="124" t="s">
        <v>55</v>
      </c>
      <c r="J211" s="124" t="s">
        <v>56</v>
      </c>
      <c r="K211" s="123" t="s">
        <v>57</v>
      </c>
      <c r="M211" s="133" t="str">
        <f>'Goals, Inventory, Budget'!C211</f>
        <v>Other Church Offered Food Storage Items and Additional Misc. Items</v>
      </c>
      <c r="N211" s="125" t="str">
        <f>'Goals, Inventory, Budget'!F211</f>
        <v>Units</v>
      </c>
      <c r="O211" s="124" t="str">
        <f>'Goals, Inventory, Budget'!G211</f>
        <v>Family Total Goal</v>
      </c>
      <c r="P211" s="124" t="str">
        <f>'Goals, Inventory, Budget'!H211</f>
        <v>In Inventory</v>
      </c>
      <c r="Q211" s="124" t="str">
        <f>'Goals, Inventory, Budget'!I211</f>
        <v>Still Need for 12 months</v>
      </c>
      <c r="R211" s="134" t="str">
        <f>'Goals, Inventory, Budget'!J211</f>
        <v>Still Need for 6 months</v>
      </c>
      <c r="S211" s="135" t="str">
        <f>'Goals, Inventory, Budget'!K211</f>
        <v>Still Need for 3 months</v>
      </c>
      <c r="Z211" s="133" t="str">
        <f>'Goals, Inventory, Budget'!C211</f>
        <v>Other Church Offered Food Storage Items and Additional Misc. Items</v>
      </c>
      <c r="AA211" s="124" t="str">
        <f>'Goals, Inventory, Budget'!G211</f>
        <v>Family Total Goal</v>
      </c>
      <c r="AB211" s="125" t="str">
        <f>'Goals, Inventory, Budget'!F211</f>
        <v>Units</v>
      </c>
      <c r="AC211" s="150" t="s">
        <v>209</v>
      </c>
      <c r="AD211" s="124" t="str">
        <f>'Goals, Inventory, Budget'!I211</f>
        <v>Still Need for 12 months</v>
      </c>
      <c r="AE211" s="658" t="str">
        <f>'Goals, Inventory, Budget'!J211</f>
        <v>Still Need for 6 months</v>
      </c>
      <c r="AF211" s="659" t="str">
        <f>'Goals, Inventory, Budget'!K211</f>
        <v>Still Need for 3 months</v>
      </c>
      <c r="AG211" s="660" t="s">
        <v>210</v>
      </c>
      <c r="AH211" s="660" t="s">
        <v>211</v>
      </c>
      <c r="AI211" s="661" t="s">
        <v>212</v>
      </c>
      <c r="AJ211" s="662" t="s">
        <v>281</v>
      </c>
    </row>
    <row r="212" spans="2:36" ht="14.25" thickBot="1" thickTop="1">
      <c r="B212" s="555"/>
      <c r="C212" s="635" t="s">
        <v>48</v>
      </c>
      <c r="D212" s="636"/>
      <c r="E212" s="676">
        <f>E202+E210</f>
        <v>2</v>
      </c>
      <c r="F212" s="637" t="s">
        <v>23</v>
      </c>
      <c r="G212" s="67">
        <f>G202+G210</f>
        <v>2</v>
      </c>
      <c r="H212" s="229">
        <f>P212</f>
        <v>0</v>
      </c>
      <c r="I212" s="43">
        <f>IF(G212="","",IF(H212="",G212-0,IF(G212&lt;H212,0,G212-H212)))</f>
        <v>2</v>
      </c>
      <c r="J212" s="54">
        <f>IF((G212/2-H212)&lt;=0,0,G212/2-H212)</f>
        <v>1</v>
      </c>
      <c r="K212" s="55">
        <f>IF((G212/4-H212)&lt;=0,0,G212/4-H212)</f>
        <v>0.5</v>
      </c>
      <c r="M212" s="128" t="str">
        <f>'Goals, Inventory, Budget'!C212</f>
        <v>Grand Total</v>
      </c>
      <c r="N212" s="129" t="str">
        <f>'Goals, Inventory, Budget'!F212</f>
        <v>lbs</v>
      </c>
      <c r="O212" s="67">
        <f>'Goals, Inventory, Budget'!G212</f>
        <v>2</v>
      </c>
      <c r="P212" s="229">
        <f>P202+P210</f>
        <v>0</v>
      </c>
      <c r="Q212" s="43">
        <f>'Goals, Inventory, Budget'!I212</f>
        <v>2</v>
      </c>
      <c r="R212" s="54">
        <f>'Goals, Inventory, Budget'!J212</f>
        <v>1</v>
      </c>
      <c r="S212" s="49">
        <f>'Goals, Inventory, Budget'!K212</f>
        <v>0.5</v>
      </c>
      <c r="Z212" s="663" t="str">
        <f>'Goals, Inventory, Budget'!C212</f>
        <v>Grand Total</v>
      </c>
      <c r="AA212" s="67">
        <f>'Goals, Inventory, Budget'!G212</f>
        <v>2</v>
      </c>
      <c r="AB212" s="129" t="str">
        <f>'Goals, Inventory, Budget'!F212</f>
        <v>lbs</v>
      </c>
      <c r="AC212" s="83"/>
      <c r="AD212" s="43">
        <f>'Goals, Inventory, Budget'!I212</f>
        <v>2</v>
      </c>
      <c r="AE212" s="54">
        <f>'Goals, Inventory, Budget'!J212</f>
        <v>1</v>
      </c>
      <c r="AF212" s="55">
        <f>'Goals, Inventory, Budget'!K212</f>
        <v>0.5</v>
      </c>
      <c r="AG212" s="159">
        <f>AG202+AG210</f>
        <v>2.72</v>
      </c>
      <c r="AH212" s="160">
        <f>AH202+AH210</f>
        <v>1.36</v>
      </c>
      <c r="AI212" s="252">
        <f>AI202+AI210</f>
        <v>0.68</v>
      </c>
      <c r="AJ212" s="247">
        <f>AJ202+AJ210</f>
        <v>0.22666666666666668</v>
      </c>
    </row>
    <row r="213" ht="13.5" thickTop="1"/>
    <row r="215" ht="12.75"/>
    <row r="224" ht="12.75"/>
    <row r="225" ht="12.75"/>
    <row r="227" ht="12.75"/>
    <row r="229" ht="12.75"/>
    <row r="230" ht="12.75"/>
  </sheetData>
  <sheetProtection sheet="1" objects="1" scenarios="1"/>
  <mergeCells count="172">
    <mergeCell ref="AI16:AJ16"/>
    <mergeCell ref="AI14:AJ14"/>
    <mergeCell ref="AI7:AJ7"/>
    <mergeCell ref="Z4:AK4"/>
    <mergeCell ref="AI15:AJ15"/>
    <mergeCell ref="AI10:AJ10"/>
    <mergeCell ref="AG17:AH17"/>
    <mergeCell ref="AG18:AH18"/>
    <mergeCell ref="AG19:AH19"/>
    <mergeCell ref="AG15:AH15"/>
    <mergeCell ref="AI17:AJ17"/>
    <mergeCell ref="AI18:AJ18"/>
    <mergeCell ref="AI11:AJ11"/>
    <mergeCell ref="AI12:AJ12"/>
    <mergeCell ref="AI13:AJ13"/>
    <mergeCell ref="Z5:AJ5"/>
    <mergeCell ref="AI6:AJ6"/>
    <mergeCell ref="AI8:AJ8"/>
    <mergeCell ref="AI9:AJ9"/>
    <mergeCell ref="Z1:AF2"/>
    <mergeCell ref="M1:U2"/>
    <mergeCell ref="C1:J2"/>
    <mergeCell ref="AG16:AH16"/>
    <mergeCell ref="Z7:AH7"/>
    <mergeCell ref="I6:J6"/>
    <mergeCell ref="AD6:AF6"/>
    <mergeCell ref="AG6:AH6"/>
    <mergeCell ref="AD11:AF11"/>
    <mergeCell ref="AG14:AH14"/>
    <mergeCell ref="C111:K111"/>
    <mergeCell ref="I14:K18"/>
    <mergeCell ref="C60:D60"/>
    <mergeCell ref="C32:G32"/>
    <mergeCell ref="C21:H21"/>
    <mergeCell ref="C100:K100"/>
    <mergeCell ref="C102:K102"/>
    <mergeCell ref="C106:K106"/>
    <mergeCell ref="C81:D81"/>
    <mergeCell ref="C105:D105"/>
    <mergeCell ref="C4:L4"/>
    <mergeCell ref="M4:Y4"/>
    <mergeCell ref="C5:L5"/>
    <mergeCell ref="M5:Y5"/>
    <mergeCell ref="C212:D212"/>
    <mergeCell ref="C191:K191"/>
    <mergeCell ref="C203:K203"/>
    <mergeCell ref="C211:D211"/>
    <mergeCell ref="C210:D210"/>
    <mergeCell ref="C202:D202"/>
    <mergeCell ref="C99:D99"/>
    <mergeCell ref="C89:H89"/>
    <mergeCell ref="C85:D85"/>
    <mergeCell ref="C13:K13"/>
    <mergeCell ref="C7:K7"/>
    <mergeCell ref="C12:D12"/>
    <mergeCell ref="C64:D64"/>
    <mergeCell ref="C25:G25"/>
    <mergeCell ref="C41:G41"/>
    <mergeCell ref="C46:G46"/>
    <mergeCell ref="C50:G50"/>
    <mergeCell ref="C31:D31"/>
    <mergeCell ref="C40:D40"/>
    <mergeCell ref="C163:D163"/>
    <mergeCell ref="C152:D152"/>
    <mergeCell ref="C139:D139"/>
    <mergeCell ref="C130:D130"/>
    <mergeCell ref="C161:D161"/>
    <mergeCell ref="C131:G131"/>
    <mergeCell ref="C162:D162"/>
    <mergeCell ref="C145:G145"/>
    <mergeCell ref="C147:G147"/>
    <mergeCell ref="C153:G153"/>
    <mergeCell ref="C143:H143"/>
    <mergeCell ref="C118:H118"/>
    <mergeCell ref="C124:D124"/>
    <mergeCell ref="C140:D140"/>
    <mergeCell ref="C141:D141"/>
    <mergeCell ref="C125:K125"/>
    <mergeCell ref="C115:D115"/>
    <mergeCell ref="C120:G120"/>
    <mergeCell ref="C116:D116"/>
    <mergeCell ref="M120:S120"/>
    <mergeCell ref="M102:S102"/>
    <mergeCell ref="M106:S106"/>
    <mergeCell ref="M111:S111"/>
    <mergeCell ref="M145:S145"/>
    <mergeCell ref="M125:S125"/>
    <mergeCell ref="M118:S118"/>
    <mergeCell ref="M147:S147"/>
    <mergeCell ref="M153:S153"/>
    <mergeCell ref="M131:S131"/>
    <mergeCell ref="M25:S25"/>
    <mergeCell ref="M67:S67"/>
    <mergeCell ref="M32:S32"/>
    <mergeCell ref="M41:S41"/>
    <mergeCell ref="M46:S46"/>
    <mergeCell ref="M61:S61"/>
    <mergeCell ref="M50:T50"/>
    <mergeCell ref="M14:S14"/>
    <mergeCell ref="M21:S21"/>
    <mergeCell ref="M7:X7"/>
    <mergeCell ref="M23:S23"/>
    <mergeCell ref="M203:S203"/>
    <mergeCell ref="M167:Y167"/>
    <mergeCell ref="M69:S69"/>
    <mergeCell ref="M82:S82"/>
    <mergeCell ref="M189:S189"/>
    <mergeCell ref="M191:S191"/>
    <mergeCell ref="M89:S89"/>
    <mergeCell ref="M91:S91"/>
    <mergeCell ref="M100:S100"/>
    <mergeCell ref="M143:S143"/>
    <mergeCell ref="Z120:AC120"/>
    <mergeCell ref="Z125:AC125"/>
    <mergeCell ref="Z131:AC131"/>
    <mergeCell ref="Z145:AC145"/>
    <mergeCell ref="Z67:AD67"/>
    <mergeCell ref="Z89:AD89"/>
    <mergeCell ref="Z13:AC13"/>
    <mergeCell ref="Z25:AC25"/>
    <mergeCell ref="Z46:AC46"/>
    <mergeCell ref="Z50:AD50"/>
    <mergeCell ref="Z23:AC23"/>
    <mergeCell ref="Z61:AC61"/>
    <mergeCell ref="Z69:AC69"/>
    <mergeCell ref="Z32:AE32"/>
    <mergeCell ref="Z191:AC191"/>
    <mergeCell ref="Z203:AC203"/>
    <mergeCell ref="Z106:AC106"/>
    <mergeCell ref="Z111:AC111"/>
    <mergeCell ref="Z167:AF167"/>
    <mergeCell ref="Z179:AC179"/>
    <mergeCell ref="Z118:AD118"/>
    <mergeCell ref="Z143:AD143"/>
    <mergeCell ref="Z165:AD165"/>
    <mergeCell ref="Z147:AC147"/>
    <mergeCell ref="B165:B187"/>
    <mergeCell ref="B189:B212"/>
    <mergeCell ref="B21:B65"/>
    <mergeCell ref="B67:B87"/>
    <mergeCell ref="B89:B116"/>
    <mergeCell ref="B143:B163"/>
    <mergeCell ref="B5:B19"/>
    <mergeCell ref="C23:G23"/>
    <mergeCell ref="B118:B141"/>
    <mergeCell ref="Z82:AC82"/>
    <mergeCell ref="Z91:AC91"/>
    <mergeCell ref="Z100:AC100"/>
    <mergeCell ref="Z102:AC102"/>
    <mergeCell ref="Z41:AC41"/>
    <mergeCell ref="C67:H67"/>
    <mergeCell ref="Z21:AD21"/>
    <mergeCell ref="Z153:AC153"/>
    <mergeCell ref="C45:D45"/>
    <mergeCell ref="C49:D49"/>
    <mergeCell ref="C82:G82"/>
    <mergeCell ref="C91:G91"/>
    <mergeCell ref="C86:D86"/>
    <mergeCell ref="C87:D87"/>
    <mergeCell ref="C61:K61"/>
    <mergeCell ref="C65:D65"/>
    <mergeCell ref="C69:G69"/>
    <mergeCell ref="Z189:AF189"/>
    <mergeCell ref="M179:S179"/>
    <mergeCell ref="M165:S165"/>
    <mergeCell ref="C165:H165"/>
    <mergeCell ref="C186:D186"/>
    <mergeCell ref="C187:D187"/>
    <mergeCell ref="C179:K179"/>
    <mergeCell ref="C178:D178"/>
    <mergeCell ref="C167:K167"/>
    <mergeCell ref="C189:I189"/>
  </mergeCells>
  <printOptions/>
  <pageMargins left="0.5" right="0.5" top="0.4" bottom="0.3" header="0.41" footer="0.29"/>
  <pageSetup blackAndWhite="1" horizontalDpi="300" verticalDpi="300" orientation="landscape" scale="80" r:id="rId4"/>
  <headerFooter alignWithMargins="0">
    <oddHeader>&amp;CGoal/Inventory/Budget
Form</oddHeader>
    <oddFooter>&amp;C&amp;D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Bartholomeusz,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Ultimate Food Storage Worksheet</dc:title>
  <dc:subject>1 year Food Storage Planner</dc:subject>
  <dc:creator>Heidi &amp; Dan Bartholomeusz</dc:creator>
  <cp:keywords/>
  <dc:description>Unlock the Formulas with "food"
This program can be edited and distributed as long as the distributions are free of charge.</dc:description>
  <cp:lastModifiedBy>Daniel A. Bartholomeusz</cp:lastModifiedBy>
  <cp:lastPrinted>2004-07-02T14:19:23Z</cp:lastPrinted>
  <dcterms:created xsi:type="dcterms:W3CDTF">2003-03-02T03:51:12Z</dcterms:created>
  <dcterms:modified xsi:type="dcterms:W3CDTF">2004-07-02T14:30:47Z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